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1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0 TOURISMUS\HESTA ab 2017\Monatsdaten\Monatsauswertungen 2023\"/>
    </mc:Choice>
  </mc:AlternateContent>
  <workbookProtection lockStructure="1"/>
  <bookViews>
    <workbookView xWindow="14505" yWindow="-15" windowWidth="14310" windowHeight="14700"/>
  </bookViews>
  <sheets>
    <sheet name="SS 2023" sheetId="4" r:id="rId1"/>
    <sheet name="WS 2022_23" sheetId="7" r:id="rId2"/>
    <sheet name="Uebersetzungen" sheetId="5" state="hidden" r:id="rId3"/>
  </sheets>
  <definedNames>
    <definedName name="_xlnm.Print_Area" localSheetId="0">'SS 2023'!$A$1:$H$88</definedName>
    <definedName name="_xlnm.Print_Area" localSheetId="1">'WS 2022_23'!$A$1:$H$88</definedName>
  </definedNames>
  <calcPr calcId="162913"/>
</workbook>
</file>

<file path=xl/calcChain.xml><?xml version="1.0" encoding="utf-8"?>
<calcChain xmlns="http://schemas.openxmlformats.org/spreadsheetml/2006/main">
  <c r="A66" i="7" l="1"/>
  <c r="A39" i="7"/>
  <c r="A66" i="4"/>
  <c r="A39" i="4"/>
  <c r="A67" i="7" l="1"/>
  <c r="A40" i="7"/>
  <c r="A40" i="4"/>
  <c r="A10" i="7"/>
  <c r="A10" i="4"/>
  <c r="A80" i="4"/>
  <c r="A80" i="7"/>
  <c r="D36" i="7"/>
  <c r="D35" i="7" s="1"/>
  <c r="C36" i="7"/>
  <c r="C35" i="7" s="1"/>
  <c r="F36" i="7"/>
  <c r="F36" i="4"/>
  <c r="C36" i="4"/>
  <c r="C35" i="4" s="1"/>
  <c r="A79" i="7" l="1"/>
  <c r="A67" i="4" l="1"/>
  <c r="A86" i="4" l="1"/>
  <c r="A85" i="4"/>
  <c r="F69" i="4"/>
  <c r="E69" i="4"/>
  <c r="D69" i="4"/>
  <c r="C69" i="4"/>
  <c r="F42" i="4"/>
  <c r="E42" i="4"/>
  <c r="D42" i="4"/>
  <c r="C42" i="4"/>
  <c r="F12" i="4"/>
  <c r="E12" i="4"/>
  <c r="D12" i="4"/>
  <c r="C12" i="4"/>
  <c r="A9" i="4"/>
  <c r="A87" i="7"/>
  <c r="A86" i="7"/>
  <c r="A85" i="7"/>
  <c r="E83" i="7"/>
  <c r="A83" i="7"/>
  <c r="E82" i="7"/>
  <c r="A82" i="7"/>
  <c r="E81" i="7"/>
  <c r="A81" i="7"/>
  <c r="E80" i="7"/>
  <c r="E79" i="7"/>
  <c r="E78" i="7"/>
  <c r="A78" i="7"/>
  <c r="E77" i="7"/>
  <c r="A77" i="7"/>
  <c r="E76" i="7"/>
  <c r="A76" i="7"/>
  <c r="E75" i="7"/>
  <c r="A75" i="7"/>
  <c r="E74" i="7"/>
  <c r="A74" i="7"/>
  <c r="E73" i="7"/>
  <c r="A73" i="7"/>
  <c r="E72" i="7"/>
  <c r="A72" i="7"/>
  <c r="E71" i="7"/>
  <c r="A71" i="7"/>
  <c r="E70" i="7"/>
  <c r="A70" i="7"/>
  <c r="F69" i="7"/>
  <c r="E69" i="7"/>
  <c r="D69" i="7"/>
  <c r="C69" i="7"/>
  <c r="A63" i="7"/>
  <c r="E61" i="7"/>
  <c r="A61" i="7"/>
  <c r="E60" i="7"/>
  <c r="A60" i="7"/>
  <c r="E59" i="7"/>
  <c r="A59" i="7"/>
  <c r="E58" i="7"/>
  <c r="A58" i="7"/>
  <c r="E57" i="7"/>
  <c r="A57" i="7"/>
  <c r="E56" i="7"/>
  <c r="A56" i="7"/>
  <c r="E55" i="7"/>
  <c r="A55" i="7"/>
  <c r="E54" i="7"/>
  <c r="A54" i="7"/>
  <c r="E53" i="7"/>
  <c r="A53" i="7"/>
  <c r="E52" i="7"/>
  <c r="A52" i="7"/>
  <c r="E51" i="7"/>
  <c r="A51" i="7"/>
  <c r="E50" i="7"/>
  <c r="A50" i="7"/>
  <c r="E49" i="7"/>
  <c r="A49" i="7"/>
  <c r="E48" i="7"/>
  <c r="A48" i="7"/>
  <c r="E47" i="7"/>
  <c r="A47" i="7"/>
  <c r="E46" i="7"/>
  <c r="A46" i="7"/>
  <c r="E45" i="7"/>
  <c r="A45" i="7"/>
  <c r="E44" i="7"/>
  <c r="A44" i="7"/>
  <c r="E43" i="7"/>
  <c r="A43" i="7"/>
  <c r="F42" i="7"/>
  <c r="E42" i="7"/>
  <c r="D42" i="7"/>
  <c r="C42" i="7"/>
  <c r="E36" i="7"/>
  <c r="A36" i="7"/>
  <c r="E35" i="7"/>
  <c r="A35" i="7"/>
  <c r="E34" i="7"/>
  <c r="A34" i="7"/>
  <c r="E33" i="7"/>
  <c r="A33" i="7"/>
  <c r="E32" i="7"/>
  <c r="A32" i="7"/>
  <c r="E31" i="7"/>
  <c r="A31" i="7"/>
  <c r="E30" i="7"/>
  <c r="A30" i="7"/>
  <c r="E29" i="7"/>
  <c r="A29" i="7"/>
  <c r="E28" i="7"/>
  <c r="A28" i="7"/>
  <c r="E27" i="7"/>
  <c r="A27" i="7"/>
  <c r="E26" i="7"/>
  <c r="A26" i="7"/>
  <c r="E25" i="7"/>
  <c r="A25" i="7"/>
  <c r="E24" i="7"/>
  <c r="A24" i="7"/>
  <c r="E23" i="7"/>
  <c r="A23" i="7"/>
  <c r="E22" i="7"/>
  <c r="A22" i="7"/>
  <c r="E21" i="7"/>
  <c r="A21" i="7"/>
  <c r="E20" i="7"/>
  <c r="A20" i="7"/>
  <c r="E19" i="7"/>
  <c r="A19" i="7"/>
  <c r="E18" i="7"/>
  <c r="A18" i="7"/>
  <c r="E17" i="7"/>
  <c r="A17" i="7"/>
  <c r="E16" i="7"/>
  <c r="A16" i="7"/>
  <c r="E15" i="7"/>
  <c r="A15" i="7"/>
  <c r="E14" i="7"/>
  <c r="A14" i="7"/>
  <c r="E13" i="7"/>
  <c r="A13" i="7"/>
  <c r="F12" i="7"/>
  <c r="E12" i="7"/>
  <c r="D12" i="7"/>
  <c r="C12" i="7"/>
  <c r="A9" i="7"/>
  <c r="A7" i="7"/>
  <c r="A87" i="4" l="1"/>
  <c r="A83" i="4"/>
  <c r="A82" i="4"/>
  <c r="A81" i="4"/>
  <c r="A79" i="4"/>
  <c r="A78" i="4"/>
  <c r="A77" i="4"/>
  <c r="A76" i="4"/>
  <c r="A75" i="4"/>
  <c r="A74" i="4"/>
  <c r="A73" i="4"/>
  <c r="A72" i="4"/>
  <c r="A71" i="4"/>
  <c r="A70" i="4"/>
  <c r="A63" i="4"/>
  <c r="A61" i="4"/>
  <c r="A60" i="4"/>
  <c r="A59" i="4"/>
  <c r="A57" i="4"/>
  <c r="A54" i="4"/>
  <c r="A58" i="4"/>
  <c r="A56" i="4"/>
  <c r="A55" i="4"/>
  <c r="A53" i="4"/>
  <c r="A52" i="4"/>
  <c r="A51" i="4"/>
  <c r="A50" i="4"/>
  <c r="A49" i="4"/>
  <c r="A48" i="4"/>
  <c r="A47" i="4"/>
  <c r="A46" i="4"/>
  <c r="A45" i="4"/>
  <c r="A44" i="4"/>
  <c r="A43" i="4"/>
  <c r="A36" i="4"/>
  <c r="A35" i="4"/>
  <c r="A23" i="4"/>
  <c r="A22" i="4"/>
  <c r="A34" i="4"/>
  <c r="A33" i="4"/>
  <c r="A32" i="4"/>
  <c r="A31" i="4"/>
  <c r="A30" i="4"/>
  <c r="A29" i="4"/>
  <c r="A28" i="4"/>
  <c r="A27" i="4"/>
  <c r="A26" i="4"/>
  <c r="A25" i="4"/>
  <c r="A24" i="4"/>
  <c r="A21" i="4"/>
  <c r="A20" i="4"/>
  <c r="A19" i="4"/>
  <c r="A18" i="4"/>
  <c r="A17" i="4"/>
  <c r="A16" i="4"/>
  <c r="A15" i="4"/>
  <c r="A14" i="4"/>
  <c r="A13" i="4"/>
  <c r="A7" i="4"/>
  <c r="D36" i="4" l="1"/>
  <c r="E36" i="4" l="1"/>
  <c r="E83" i="4" l="1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D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35" i="4" l="1"/>
</calcChain>
</file>

<file path=xl/sharedStrings.xml><?xml version="1.0" encoding="utf-8"?>
<sst xmlns="http://schemas.openxmlformats.org/spreadsheetml/2006/main" count="339" uniqueCount="265">
  <si>
    <t>Davos Klosters</t>
  </si>
  <si>
    <t>Flims Laax</t>
  </si>
  <si>
    <t>Chur</t>
  </si>
  <si>
    <t>Lenzerheide</t>
  </si>
  <si>
    <t>Prättigau</t>
  </si>
  <si>
    <t>Valposchiavo</t>
  </si>
  <si>
    <t>Viamala</t>
  </si>
  <si>
    <t>Bergün Filisur</t>
  </si>
  <si>
    <t>Disentis Sedrun</t>
  </si>
  <si>
    <t>Vals</t>
  </si>
  <si>
    <t>Graubünden</t>
  </si>
  <si>
    <t>San Bernardino, Mesolcina/Calanca</t>
  </si>
  <si>
    <t>Bündner Herrschaft</t>
  </si>
  <si>
    <t>Schweiz</t>
  </si>
  <si>
    <t>Deutschland</t>
  </si>
  <si>
    <t>Niederlande</t>
  </si>
  <si>
    <t>Italien</t>
  </si>
  <si>
    <t>Belgien</t>
  </si>
  <si>
    <t>Frankreich</t>
  </si>
  <si>
    <t>Österreich</t>
  </si>
  <si>
    <t>Japan</t>
  </si>
  <si>
    <t>Luxemburg</t>
  </si>
  <si>
    <t>Polen</t>
  </si>
  <si>
    <t>Russland</t>
  </si>
  <si>
    <t xml:space="preserve">Indien </t>
  </si>
  <si>
    <t>Brasilien</t>
  </si>
  <si>
    <t>Vereinigtes Königreich</t>
  </si>
  <si>
    <t>Arosa</t>
  </si>
  <si>
    <t>Surselva</t>
  </si>
  <si>
    <t>Bregaglia Engadin</t>
  </si>
  <si>
    <t>Engadin St. Moritz</t>
  </si>
  <si>
    <t>Scuol Samnaun Val Müstair</t>
  </si>
  <si>
    <t>Ostschweiz</t>
  </si>
  <si>
    <t>Genf</t>
  </si>
  <si>
    <t>Wallis</t>
  </si>
  <si>
    <t>Tessin</t>
  </si>
  <si>
    <t>Zürich Region</t>
  </si>
  <si>
    <t>Luzern / Vierwaldstättersee</t>
  </si>
  <si>
    <t>Basel Region</t>
  </si>
  <si>
    <t>Bern Region</t>
  </si>
  <si>
    <t>Jura &amp; Drei-Seen-Land</t>
  </si>
  <si>
    <t>Fribourg Region</t>
  </si>
  <si>
    <t>Schweden</t>
  </si>
  <si>
    <t>Norwegen</t>
  </si>
  <si>
    <t>Dänemark</t>
  </si>
  <si>
    <t>Finnland</t>
  </si>
  <si>
    <t>Aktuelle Zuordnung der politischen Gemeinden zu Destinationen:</t>
  </si>
  <si>
    <t>Golfstaaten</t>
  </si>
  <si>
    <t>Tschechien</t>
  </si>
  <si>
    <t>Vereinigte Staaten</t>
  </si>
  <si>
    <t>China / Hongkong / Taiwan (Chin. Taipei)</t>
  </si>
  <si>
    <t>Waadt</t>
  </si>
  <si>
    <t>Val Surses (inkl. Gde Albula/Alvra)</t>
  </si>
  <si>
    <t>Kontakt: Luzius Stricker, 081 257 23 74, luzius.stricker@awt.gr.ch</t>
  </si>
  <si>
    <t>Veränderung zum
5-Jahresmittel 
in %</t>
  </si>
  <si>
    <t>Veränderung 23/22 in %</t>
  </si>
  <si>
    <t>Hotel- und Kurbetriebe: Logiernächte in der Sommersaison 2023, nach Herkunft</t>
  </si>
  <si>
    <t>Sommersaison 
2023</t>
  </si>
  <si>
    <t>Sommersaison 2022</t>
  </si>
  <si>
    <t>Hotel- und Kurbetriebe: Logiernächte in der Sommersaison 2023, nach Destinationen</t>
  </si>
  <si>
    <t>Hotel- und Kurbetriebe: Logiernächte in der Sommersaison 2023, nach Schweizer Tourismusregionen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</si>
  <si>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</si>
  <si>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</si>
  <si>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</si>
  <si>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</si>
  <si>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</si>
  <si>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</si>
  <si>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</si>
  <si>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</si>
  <si>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</si>
  <si>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</si>
  <si>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</si>
  <si>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T1-2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</si>
  <si>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</si>
  <si>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</si>
  <si>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</si>
  <si>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</si>
  <si>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</si>
  <si>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</si>
  <si>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</si>
  <si>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</si>
  <si>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</si>
  <si>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</si>
  <si>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</si>
  <si>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</si>
  <si>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</si>
  <si>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</si>
  <si>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</si>
  <si>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</si>
  <si>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</si>
  <si>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</si>
  <si>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</si>
  <si>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</si>
  <si>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</si>
  <si>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</si>
  <si>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</si>
  <si>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</si>
  <si>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</si>
  <si>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</si>
  <si>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</si>
  <si>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</si>
  <si>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&lt;Zeilentitel_26&gt;</t>
  </si>
  <si>
    <t>&lt;Zeilentitel_27&gt;</t>
  </si>
  <si>
    <t>&lt;Legende_1&gt;</t>
  </si>
  <si>
    <t>&lt;Legende_2&gt;</t>
  </si>
  <si>
    <t>&lt;Quelle_1&gt;</t>
  </si>
  <si>
    <t>&lt;Aktualisierung&gt;</t>
  </si>
  <si>
    <t>Aargau und Solothurn Region</t>
  </si>
  <si>
    <t>&lt;Titel1&gt;</t>
  </si>
  <si>
    <t>&lt;Titel2&gt;</t>
  </si>
  <si>
    <t>&lt;Titel3&gt;</t>
  </si>
  <si>
    <t>Midament 23/22 in %</t>
  </si>
  <si>
    <t>Variazione 23/22 in %</t>
  </si>
  <si>
    <t>&lt;SpaltenTitel_4&gt;</t>
  </si>
  <si>
    <t>Midada a la
media da 5 onns 
en %</t>
  </si>
  <si>
    <t>Variazione alla media quinquennale in %</t>
  </si>
  <si>
    <t>Svizra</t>
  </si>
  <si>
    <t>Svizzera</t>
  </si>
  <si>
    <t>Germania</t>
  </si>
  <si>
    <t>Italia</t>
  </si>
  <si>
    <t>Frantscha</t>
  </si>
  <si>
    <t>Francia</t>
  </si>
  <si>
    <t>Austria</t>
  </si>
  <si>
    <t>Pajais Bass</t>
  </si>
  <si>
    <t>Paesi Bassi</t>
  </si>
  <si>
    <t>Belgia</t>
  </si>
  <si>
    <t>Belgio</t>
  </si>
  <si>
    <t>Lussemburgo</t>
  </si>
  <si>
    <t>Reginavel Unì</t>
  </si>
  <si>
    <t>Regno Unito</t>
  </si>
  <si>
    <t>Stadis Unids</t>
  </si>
  <si>
    <t>Stati Uniti</t>
  </si>
  <si>
    <t>Pologna</t>
  </si>
  <si>
    <t>Polonia</t>
  </si>
  <si>
    <t>Republica Tscheca</t>
  </si>
  <si>
    <t>Repubblica Ceca</t>
  </si>
  <si>
    <t>Russia</t>
  </si>
  <si>
    <t>Svezia</t>
  </si>
  <si>
    <t>Norvegia</t>
  </si>
  <si>
    <t>Danemarc</t>
  </si>
  <si>
    <t>Danimarca</t>
  </si>
  <si>
    <t>Finlanda</t>
  </si>
  <si>
    <t>Finlandia</t>
  </si>
  <si>
    <t>Giapun</t>
  </si>
  <si>
    <t>Giappone</t>
  </si>
  <si>
    <t>China (incl. Hongkong) / Taiwan</t>
  </si>
  <si>
    <t>Cina (inclusa Hong Kong) / Taiwan</t>
  </si>
  <si>
    <t xml:space="preserve">India </t>
  </si>
  <si>
    <t>Brasilia</t>
  </si>
  <si>
    <t>Brasile</t>
  </si>
  <si>
    <t>Stadis dal Golf</t>
  </si>
  <si>
    <t>Stati del Golfo</t>
  </si>
  <si>
    <t>Ulteriurs pajais d'origin</t>
  </si>
  <si>
    <t>Altri paesi di origine</t>
  </si>
  <si>
    <t>Grischun</t>
  </si>
  <si>
    <t>Grigioni</t>
  </si>
  <si>
    <t xml:space="preserve">Arosa </t>
  </si>
  <si>
    <t>&lt;Zeilentitel_28&gt;</t>
  </si>
  <si>
    <t>Bündner Herschaft</t>
  </si>
  <si>
    <t>&lt;Zeilentitel_29&gt;</t>
  </si>
  <si>
    <t>&lt;Zeilentitel_30&gt;</t>
  </si>
  <si>
    <t>&lt;Zeilentitel_31&gt;</t>
  </si>
  <si>
    <t>&lt;Zeilentitel_32&gt;</t>
  </si>
  <si>
    <t>&lt;Zeilentitel_33&gt;</t>
  </si>
  <si>
    <t>&lt;Zeilentitel_34&gt;</t>
  </si>
  <si>
    <t>&lt;Zeilentitel_35&gt;</t>
  </si>
  <si>
    <t>&lt;Zeilentitel_36&gt;</t>
  </si>
  <si>
    <t>&lt;Zeilentitel_37&gt;</t>
  </si>
  <si>
    <t>&lt;Zeilentitel_38&gt;</t>
  </si>
  <si>
    <t>Val Surses</t>
  </si>
  <si>
    <t>&lt;Zeilentitel_39&gt;</t>
  </si>
  <si>
    <t>&lt;Zeilentitel_40&gt;</t>
  </si>
  <si>
    <t>&lt;Zeilentitel_41&gt;</t>
  </si>
  <si>
    <t>&lt;Zeilentitel_42&gt;</t>
  </si>
  <si>
    <t>&lt;Zeilentitel_43&gt;</t>
  </si>
  <si>
    <t>&lt;Zeilentitel_44&gt;</t>
  </si>
  <si>
    <t>Regiun Argovia e Solturn</t>
  </si>
  <si>
    <t>Regione Argovia e Soletta</t>
  </si>
  <si>
    <t>&lt;Zeilentitel_45&gt;</t>
  </si>
  <si>
    <t>Regiun Basilea</t>
  </si>
  <si>
    <t>Regione Basilea</t>
  </si>
  <si>
    <t>&lt;Zeilentitel_46&gt;</t>
  </si>
  <si>
    <t>Regiun Berna</t>
  </si>
  <si>
    <t>Regione Berna</t>
  </si>
  <si>
    <t>&lt;Zeilentitel_47&gt;</t>
  </si>
  <si>
    <t>Regiun da Friburg</t>
  </si>
  <si>
    <t>Regione Friburgo</t>
  </si>
  <si>
    <t>&lt;Zeilentitel_48&gt;</t>
  </si>
  <si>
    <t>Genevra</t>
  </si>
  <si>
    <t>Ginevra</t>
  </si>
  <si>
    <t>&lt;Zeilentitel_49&gt;</t>
  </si>
  <si>
    <t>&lt;Zeilentitel_50&gt;</t>
  </si>
  <si>
    <t>Giura &amp; Trais lais</t>
  </si>
  <si>
    <t>Giura &amp; Tre Laghi</t>
  </si>
  <si>
    <t>&lt;Zeilentitel_51&gt;</t>
  </si>
  <si>
    <t>Lucerna / Lai dals Quatter Chantuns</t>
  </si>
  <si>
    <t>Lucerna / Lago dei Quattro Cantoni</t>
  </si>
  <si>
    <t>&lt;Zeilentitel_52&gt;</t>
  </si>
  <si>
    <t>Svizra Orientala</t>
  </si>
  <si>
    <t>Svizzera orientale</t>
  </si>
  <si>
    <t>&lt;Zeilentitel_53&gt;</t>
  </si>
  <si>
    <t>Ticino</t>
  </si>
  <si>
    <t>&lt;Zeilentitel_54&gt;</t>
  </si>
  <si>
    <t>Vad</t>
  </si>
  <si>
    <t>Vaud</t>
  </si>
  <si>
    <t>&lt;Zeilentitel_55&gt;</t>
  </si>
  <si>
    <t>Vallais</t>
  </si>
  <si>
    <t>Vallese</t>
  </si>
  <si>
    <t>&lt;Zeilentitel_56&gt;</t>
  </si>
  <si>
    <t>Regiun da Turitg</t>
  </si>
  <si>
    <t>Regione Zurigo</t>
  </si>
  <si>
    <t>&lt;Zeilentitel_57&gt;</t>
  </si>
  <si>
    <t>Attribuziun actuala da las vischnancas politicas a destinaziuns:</t>
  </si>
  <si>
    <t>Attuale assegnazione dei comuni politici alle destinazioni:</t>
  </si>
  <si>
    <t>Contact: Luzius Stricker, 081 257 23 74, luzius.stricker@awt.gr.ch</t>
  </si>
  <si>
    <t>Contatto: Luzius Stricker, 081 257 23 74, luzius.stricker@awt.gr.ch</t>
  </si>
  <si>
    <t>Quelle: BFS (HESTA)</t>
  </si>
  <si>
    <t>Stagione estiva 2022</t>
  </si>
  <si>
    <t>Stagiun da stad 2022</t>
  </si>
  <si>
    <t>Stagiun da stad 2023</t>
  </si>
  <si>
    <t>Stagione estiva 2023</t>
  </si>
  <si>
    <t>Manaschis d' hotel e da cura: pernottaziuns la stagiun da stad 2023, tenor origin</t>
  </si>
  <si>
    <t>Manaschis d'hotel e da cura: pernottaziuns la stagiun da stad 2023, tenor destinaziuns</t>
  </si>
  <si>
    <t>Manaschis d'hotel e da cura: pernottaziuns la stagiun da stad 2023, tenor regiuns turisticas svizras</t>
  </si>
  <si>
    <t>Alberghi e stabilimenti di cura: pernottamenti nella stagione estiva 2023, secondo la provenienza</t>
  </si>
  <si>
    <t>Alberghi e stabilimenti di cura: pernottamenti nella stagione estiva 2023, per destinazione</t>
  </si>
  <si>
    <t>Alberghi e stabilimenti di cura: pernottamenti nella stagione estiva 2023, suddivise per regioni turistiche svizzere</t>
  </si>
  <si>
    <t>Destinationen/destinaziuns/destinazioni</t>
  </si>
  <si>
    <t>Funtauna: UST (HESTA)</t>
  </si>
  <si>
    <t>Fonte: UST (HESTA)</t>
  </si>
  <si>
    <t>Letztmals aktualisiert am: 22.02.2024</t>
  </si>
  <si>
    <t>Ultima actualisaziun: 22.02.2024</t>
  </si>
  <si>
    <t>Ultimo aggiornamento: 22.02.2024</t>
  </si>
  <si>
    <t>T2</t>
  </si>
  <si>
    <t>&lt;T2Titel1&gt;</t>
  </si>
  <si>
    <t>&lt;T2Titel2&gt;</t>
  </si>
  <si>
    <t>&lt;T2Titel3&gt;</t>
  </si>
  <si>
    <t>&lt;T2SpaltenTitel_1&gt;</t>
  </si>
  <si>
    <t>&lt;T2SpaltenTitel_2&gt;</t>
  </si>
  <si>
    <t>&lt;T2SpaltenTitel_3&gt;</t>
  </si>
  <si>
    <t>&lt;T2SpaltenTitel_4&gt;</t>
  </si>
  <si>
    <t>&lt;T2Quelle_1&gt;</t>
  </si>
  <si>
    <t>&lt;T2Aktualisierung&gt;</t>
  </si>
  <si>
    <t>Wintersaison 2022/23</t>
  </si>
  <si>
    <t>Wintersaison 2021/22</t>
  </si>
  <si>
    <t>Hotel- und Kurbetriebe: Logiernächte in der Wintersaison 2022/23, nach Herkunft</t>
  </si>
  <si>
    <t>Hotel- und Kurbetriebe: Logiernächte in der Wintersaison 2022/23, nach Destinationen</t>
  </si>
  <si>
    <t>Hotel- und Kurbetriebe: Logiernächte in der Wintersaison 2022/23, nach Schweizer Tourismusregionen</t>
  </si>
  <si>
    <t>Manaschis d'hotel e da cura: pernottaziuns la stagiun d'enviern 2022/23, tenor destinaziuns</t>
  </si>
  <si>
    <t>Manaschis d' hotel e da cura: pernottaziuns la stagiun d'enviern 2022/23, tenor origin</t>
  </si>
  <si>
    <t>Manaschis d'hotel e da cura: pernottaziuns la stagiun d'enviern 2022/23, tenor regiuns turisticas svizras</t>
  </si>
  <si>
    <t>Stagiun d'enviern 2022/23</t>
  </si>
  <si>
    <t>Stagiun d'enviern 2021/22</t>
  </si>
  <si>
    <t>Alberghi e stabilimenti di cura: pernottamenti nella stagione invernale 2022/23, secondo la provenienza</t>
  </si>
  <si>
    <t>Alberghi e stabilimenti di cura: pernottamenti nella stagione invernale 2022/23, per destinazione</t>
  </si>
  <si>
    <t>Alberghi e stabilimenti di cura: pernottamenti nella stagione invernale 2022/23, suddivise per regioni turistiche svizzere</t>
  </si>
  <si>
    <t>Stagione invernale 2022/23</t>
  </si>
  <si>
    <t>Stagione invernale 2021/22</t>
  </si>
  <si>
    <t>&lt;Titelprov&gt;</t>
  </si>
  <si>
    <t>wenn definitiv-&gt; Zeile oben mit diesem Text ersetzen</t>
  </si>
  <si>
    <t>cifre definitive</t>
  </si>
  <si>
    <t>definitive Ergebnisse</t>
  </si>
  <si>
    <t>resultats definitivs</t>
  </si>
  <si>
    <t>-</t>
  </si>
  <si>
    <t>Übrige Herkunftsländer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</si>
</sst>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\ ###\ ###\ ##0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sz val="10"/>
      <name val="Helv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Segoe UI"/>
      <family val="2"/>
    </font>
    <font>
      <b/>
      <sz val="10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0" fontId="1" fillId="0" borderId="0"/>
    <xf numFmtId="0" fontId="8" fillId="0" borderId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Border="0" applyAlignment="0"/>
    <xf numFmtId="43" fontId="14" fillId="0" borderId="0" applyFont="0" applyFill="0" applyBorder="0" applyAlignment="0" applyProtection="0"/>
  </cellStyleXfs>
  <cellXfs count="97">
    <xf numFmtId="0" fontId="0" fillId="0" borderId="0" xfId="0"/>
    <xf numFmtId="0" fontId="4" fillId="2" borderId="0" xfId="1" applyFont="1" applyFill="1" applyBorder="1"/>
    <xf numFmtId="0" fontId="6" fillId="2" borderId="0" xfId="1" applyFont="1" applyFill="1" applyBorder="1"/>
    <xf numFmtId="0" fontId="7" fillId="2" borderId="0" xfId="1" applyFont="1" applyFill="1" applyAlignment="1" applyProtection="1">
      <alignment horizontal="left"/>
      <protection locked="0"/>
    </xf>
    <xf numFmtId="0" fontId="3" fillId="2" borderId="0" xfId="1" applyFill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10" xfId="0" applyFill="1" applyBorder="1"/>
    <xf numFmtId="0" fontId="0" fillId="3" borderId="11" xfId="0" applyFill="1" applyBorder="1"/>
    <xf numFmtId="0" fontId="0" fillId="3" borderId="12" xfId="0" applyFill="1" applyBorder="1"/>
    <xf numFmtId="164" fontId="0" fillId="2" borderId="14" xfId="6" applyNumberFormat="1" applyFont="1" applyFill="1" applyBorder="1" applyAlignment="1">
      <alignment horizontal="right" vertical="center"/>
    </xf>
    <xf numFmtId="164" fontId="0" fillId="2" borderId="15" xfId="6" applyNumberFormat="1" applyFont="1" applyFill="1" applyBorder="1" applyAlignment="1">
      <alignment horizontal="right" vertical="center"/>
    </xf>
    <xf numFmtId="164" fontId="0" fillId="2" borderId="18" xfId="6" applyNumberFormat="1" applyFont="1" applyFill="1" applyBorder="1" applyAlignment="1">
      <alignment horizontal="right" vertical="center"/>
    </xf>
    <xf numFmtId="165" fontId="2" fillId="2" borderId="6" xfId="5" applyNumberFormat="1" applyFont="1" applyFill="1" applyBorder="1" applyAlignment="1">
      <alignment horizontal="right" vertical="center"/>
    </xf>
    <xf numFmtId="165" fontId="2" fillId="2" borderId="9" xfId="5" applyNumberFormat="1" applyFont="1" applyFill="1" applyBorder="1" applyAlignment="1">
      <alignment horizontal="right" vertical="center"/>
    </xf>
    <xf numFmtId="165" fontId="0" fillId="2" borderId="0" xfId="0" applyNumberFormat="1" applyFill="1"/>
    <xf numFmtId="17" fontId="2" fillId="3" borderId="13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/>
    </xf>
    <xf numFmtId="0" fontId="0" fillId="2" borderId="19" xfId="0" applyFill="1" applyBorder="1"/>
    <xf numFmtId="0" fontId="2" fillId="2" borderId="20" xfId="0" applyFont="1" applyFill="1" applyBorder="1" applyAlignment="1">
      <alignment vertical="center"/>
    </xf>
    <xf numFmtId="0" fontId="0" fillId="2" borderId="0" xfId="0" applyNumberFormat="1" applyFill="1"/>
    <xf numFmtId="0" fontId="0" fillId="2" borderId="0" xfId="0" applyNumberFormat="1" applyFill="1" applyBorder="1"/>
    <xf numFmtId="165" fontId="2" fillId="2" borderId="0" xfId="5" applyNumberFormat="1" applyFont="1" applyFill="1" applyBorder="1" applyAlignment="1">
      <alignment horizontal="right" vertical="center"/>
    </xf>
    <xf numFmtId="165" fontId="2" fillId="2" borderId="7" xfId="5" applyNumberFormat="1" applyFont="1" applyFill="1" applyBorder="1" applyAlignment="1">
      <alignment horizontal="right" vertical="center"/>
    </xf>
    <xf numFmtId="0" fontId="2" fillId="2" borderId="0" xfId="0" applyFont="1" applyFill="1"/>
    <xf numFmtId="165" fontId="2" fillId="2" borderId="21" xfId="5" applyNumberFormat="1" applyFont="1" applyFill="1" applyBorder="1" applyAlignment="1">
      <alignment horizontal="right" vertical="center"/>
    </xf>
    <xf numFmtId="164" fontId="0" fillId="2" borderId="4" xfId="6" applyNumberFormat="1" applyFont="1" applyFill="1" applyBorder="1" applyAlignment="1">
      <alignment horizontal="right" vertical="center"/>
    </xf>
    <xf numFmtId="0" fontId="13" fillId="2" borderId="0" xfId="3" applyFont="1" applyFill="1" applyBorder="1"/>
    <xf numFmtId="0" fontId="2" fillId="2" borderId="0" xfId="0" applyFont="1" applyFill="1" applyBorder="1"/>
    <xf numFmtId="164" fontId="1" fillId="2" borderId="0" xfId="6" applyNumberFormat="1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/>
    <xf numFmtId="164" fontId="1" fillId="2" borderId="23" xfId="6" applyNumberFormat="1" applyFont="1" applyFill="1" applyBorder="1" applyAlignment="1">
      <alignment horizontal="right" vertical="center"/>
    </xf>
    <xf numFmtId="165" fontId="2" fillId="2" borderId="24" xfId="5" applyNumberFormat="1" applyFont="1" applyFill="1" applyBorder="1" applyAlignment="1">
      <alignment horizontal="right" vertical="center"/>
    </xf>
    <xf numFmtId="164" fontId="0" fillId="2" borderId="8" xfId="6" applyNumberFormat="1" applyFont="1" applyFill="1" applyBorder="1" applyAlignment="1">
      <alignment horizontal="right" vertical="center"/>
    </xf>
    <xf numFmtId="164" fontId="0" fillId="2" borderId="16" xfId="0" applyNumberFormat="1" applyFill="1" applyBorder="1" applyAlignment="1">
      <alignment horizontal="right" vertical="center"/>
    </xf>
    <xf numFmtId="164" fontId="0" fillId="2" borderId="22" xfId="0" applyNumberFormat="1" applyFont="1" applyFill="1" applyBorder="1" applyAlignment="1">
      <alignment horizontal="right" vertical="center"/>
    </xf>
    <xf numFmtId="164" fontId="0" fillId="2" borderId="25" xfId="0" applyNumberFormat="1" applyFill="1" applyBorder="1" applyAlignment="1">
      <alignment horizontal="right" vertical="center"/>
    </xf>
    <xf numFmtId="164" fontId="0" fillId="2" borderId="17" xfId="6" applyNumberFormat="1" applyFont="1" applyFill="1" applyBorder="1" applyAlignment="1">
      <alignment horizontal="right" vertical="center"/>
    </xf>
    <xf numFmtId="164" fontId="0" fillId="2" borderId="25" xfId="6" applyNumberFormat="1" applyFont="1" applyFill="1" applyBorder="1" applyAlignment="1">
      <alignment horizontal="right" vertical="center"/>
    </xf>
    <xf numFmtId="0" fontId="12" fillId="2" borderId="0" xfId="10" applyFill="1"/>
    <xf numFmtId="0" fontId="7" fillId="2" borderId="0" xfId="0" applyFont="1" applyFill="1"/>
    <xf numFmtId="165" fontId="2" fillId="2" borderId="6" xfId="5" applyNumberFormat="1" applyFont="1" applyFill="1" applyBorder="1" applyAlignment="1"/>
    <xf numFmtId="164" fontId="0" fillId="2" borderId="14" xfId="6" applyNumberFormat="1" applyFont="1" applyFill="1" applyBorder="1" applyAlignment="1"/>
    <xf numFmtId="164" fontId="0" fillId="2" borderId="16" xfId="0" applyNumberFormat="1" applyFill="1" applyBorder="1" applyAlignment="1"/>
    <xf numFmtId="164" fontId="0" fillId="2" borderId="25" xfId="0" applyNumberFormat="1" applyFill="1" applyBorder="1" applyAlignment="1">
      <alignment horizontal="right"/>
    </xf>
    <xf numFmtId="165" fontId="2" fillId="2" borderId="6" xfId="5" applyNumberFormat="1" applyFont="1" applyFill="1" applyBorder="1" applyAlignment="1">
      <alignment horizontal="right"/>
    </xf>
    <xf numFmtId="0" fontId="0" fillId="5" borderId="2" xfId="0" applyFill="1" applyBorder="1"/>
    <xf numFmtId="165" fontId="2" fillId="5" borderId="6" xfId="5" applyNumberFormat="1" applyFont="1" applyFill="1" applyBorder="1" applyAlignment="1">
      <alignment horizontal="right" vertical="center"/>
    </xf>
    <xf numFmtId="164" fontId="0" fillId="5" borderId="14" xfId="6" applyNumberFormat="1" applyFont="1" applyFill="1" applyBorder="1" applyAlignment="1">
      <alignment horizontal="right" vertical="center"/>
    </xf>
    <xf numFmtId="164" fontId="0" fillId="5" borderId="16" xfId="0" applyNumberFormat="1" applyFill="1" applyBorder="1" applyAlignment="1">
      <alignment horizontal="right" vertical="center"/>
    </xf>
    <xf numFmtId="164" fontId="1" fillId="2" borderId="18" xfId="6" applyNumberFormat="1" applyFont="1" applyFill="1" applyBorder="1" applyAlignment="1">
      <alignment horizontal="right" vertical="center"/>
    </xf>
    <xf numFmtId="164" fontId="1" fillId="2" borderId="17" xfId="6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3" fillId="2" borderId="0" xfId="1" applyFill="1" applyAlignment="1">
      <alignment wrapText="1"/>
    </xf>
    <xf numFmtId="165" fontId="0" fillId="2" borderId="4" xfId="5" applyNumberFormat="1" applyFont="1" applyFill="1" applyBorder="1" applyAlignment="1">
      <alignment wrapText="1"/>
    </xf>
    <xf numFmtId="165" fontId="0" fillId="2" borderId="6" xfId="5" applyNumberFormat="1" applyFont="1" applyFill="1" applyBorder="1" applyAlignment="1">
      <alignment wrapText="1"/>
    </xf>
    <xf numFmtId="165" fontId="1" fillId="2" borderId="9" xfId="5" applyNumberFormat="1" applyFont="1" applyFill="1" applyBorder="1" applyAlignment="1">
      <alignment wrapText="1"/>
    </xf>
    <xf numFmtId="165" fontId="0" fillId="2" borderId="5" xfId="5" applyNumberFormat="1" applyFont="1" applyFill="1" applyBorder="1" applyAlignment="1">
      <alignment horizontal="right" vertical="center" wrapText="1"/>
    </xf>
    <xf numFmtId="166" fontId="0" fillId="2" borderId="0" xfId="0" applyNumberFormat="1" applyFill="1" applyAlignment="1">
      <alignment wrapText="1"/>
    </xf>
    <xf numFmtId="165" fontId="0" fillId="2" borderId="4" xfId="5" applyNumberFormat="1" applyFont="1" applyFill="1" applyBorder="1" applyAlignment="1">
      <alignment horizontal="right" vertical="center" wrapText="1"/>
    </xf>
    <xf numFmtId="165" fontId="0" fillId="2" borderId="8" xfId="5" applyNumberFormat="1" applyFont="1" applyFill="1" applyBorder="1" applyAlignment="1">
      <alignment horizontal="right" vertical="center" wrapText="1"/>
    </xf>
    <xf numFmtId="165" fontId="1" fillId="2" borderId="5" xfId="5" applyNumberFormat="1" applyFont="1" applyFill="1" applyBorder="1" applyAlignment="1">
      <alignment horizontal="right" vertical="center" wrapText="1"/>
    </xf>
    <xf numFmtId="165" fontId="0" fillId="5" borderId="4" xfId="5" applyNumberFormat="1" applyFont="1" applyFill="1" applyBorder="1" applyAlignment="1">
      <alignment horizontal="right" vertical="center" wrapText="1"/>
    </xf>
    <xf numFmtId="165" fontId="1" fillId="2" borderId="0" xfId="5" applyNumberFormat="1" applyFont="1" applyFill="1" applyBorder="1" applyAlignment="1">
      <alignment horizontal="right" vertical="center" wrapText="1"/>
    </xf>
    <xf numFmtId="0" fontId="12" fillId="0" borderId="0" xfId="10"/>
    <xf numFmtId="0" fontId="3" fillId="2" borderId="0" xfId="0" applyFont="1" applyFill="1"/>
    <xf numFmtId="0" fontId="5" fillId="2" borderId="0" xfId="0" applyFont="1" applyFill="1"/>
    <xf numFmtId="0" fontId="3" fillId="0" borderId="0" xfId="0" applyFont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horizontal="left" vertical="top" wrapText="1"/>
    </xf>
    <xf numFmtId="0" fontId="1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9" borderId="0" xfId="0" applyFont="1" applyFill="1" applyBorder="1" applyAlignment="1">
      <alignment horizontal="left" vertical="top" wrapText="1"/>
    </xf>
    <xf numFmtId="49" fontId="3" fillId="9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8" borderId="0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wrapText="1"/>
    </xf>
    <xf numFmtId="17" fontId="0" fillId="3" borderId="13" xfId="0" applyNumberFormat="1" applyFont="1" applyFill="1" applyBorder="1" applyAlignment="1">
      <alignment horizontal="right" vertical="center" wrapText="1"/>
    </xf>
    <xf numFmtId="17" fontId="0" fillId="3" borderId="26" xfId="0" applyNumberFormat="1" applyFont="1" applyFill="1" applyBorder="1" applyAlignment="1">
      <alignment horizontal="right" vertical="center" wrapText="1"/>
    </xf>
    <xf numFmtId="0" fontId="9" fillId="4" borderId="20" xfId="0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top" wrapText="1"/>
    </xf>
    <xf numFmtId="0" fontId="3" fillId="7" borderId="27" xfId="0" applyFont="1" applyFill="1" applyBorder="1" applyAlignment="1">
      <alignment horizontal="left" vertical="top" wrapText="1"/>
    </xf>
    <xf numFmtId="0" fontId="3" fillId="9" borderId="27" xfId="0" applyFont="1" applyFill="1" applyBorder="1" applyAlignment="1">
      <alignment horizontal="left" vertical="top" wrapText="1"/>
    </xf>
    <xf numFmtId="0" fontId="3" fillId="9" borderId="27" xfId="0" applyFont="1" applyFill="1" applyBorder="1" applyAlignment="1">
      <alignment wrapText="1"/>
    </xf>
    <xf numFmtId="0" fontId="3" fillId="0" borderId="27" xfId="0" applyFont="1" applyBorder="1" applyAlignment="1">
      <alignment horizontal="left" vertical="top" wrapText="1"/>
    </xf>
    <xf numFmtId="0" fontId="9" fillId="8" borderId="0" xfId="0" applyFont="1" applyFill="1" applyAlignment="1">
      <alignment horizontal="left" vertical="center"/>
    </xf>
    <xf numFmtId="0" fontId="16" fillId="8" borderId="0" xfId="0" applyFont="1" applyFill="1" applyAlignment="1">
      <alignment horizontal="left" vertical="top"/>
    </xf>
    <xf numFmtId="165" fontId="16" fillId="8" borderId="0" xfId="5" applyNumberFormat="1" applyFont="1" applyFill="1" applyBorder="1" applyAlignment="1" applyProtection="1">
      <alignment horizontal="left" vertical="top"/>
    </xf>
    <xf numFmtId="0" fontId="3" fillId="10" borderId="0" xfId="0" applyFont="1" applyFill="1" applyBorder="1" applyAlignment="1">
      <alignment horizontal="left" vertical="top" wrapText="1"/>
    </xf>
    <xf numFmtId="0" fontId="1" fillId="2" borderId="0" xfId="0" applyFont="1" applyFill="1"/>
    <xf numFmtId="0" fontId="0" fillId="5" borderId="0" xfId="0" applyFill="1" applyBorder="1"/>
    <xf numFmtId="165" fontId="2" fillId="2" borderId="9" xfId="5" applyNumberFormat="1" applyFont="1" applyFill="1" applyBorder="1" applyAlignment="1">
      <alignment wrapText="1"/>
    </xf>
    <xf numFmtId="0" fontId="5" fillId="2" borderId="0" xfId="1" applyFont="1" applyFill="1" applyBorder="1" applyAlignment="1">
      <alignment horizontal="left" vertical="top" wrapText="1"/>
    </xf>
  </cellXfs>
  <cellStyles count="13">
    <cellStyle name="Komma" xfId="5" builtinId="3"/>
    <cellStyle name="Komma 2" xfId="12"/>
    <cellStyle name="Link" xfId="10" builtinId="8"/>
    <cellStyle name="Prozent" xfId="6" builtinId="5"/>
    <cellStyle name="Prozent 2" xfId="7"/>
    <cellStyle name="Standard" xfId="0" builtinId="0"/>
    <cellStyle name="Standard 2" xfId="2"/>
    <cellStyle name="Standard 2 2" xfId="4"/>
    <cellStyle name="Standard 2 3" xfId="8"/>
    <cellStyle name="Standard 3" xfId="1"/>
    <cellStyle name="Standard 3 2" xfId="9"/>
    <cellStyle name="Standard 4" xfId="3"/>
    <cellStyle name="Standard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758825</xdr:colOff>
      <xdr:row>5</xdr:row>
      <xdr:rowOff>13727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4</xdr:col>
      <xdr:colOff>781050</xdr:colOff>
      <xdr:row>0</xdr:row>
      <xdr:rowOff>19050</xdr:rowOff>
    </xdr:from>
    <xdr:to>
      <xdr:col>7</xdr:col>
      <xdr:colOff>457814</xdr:colOff>
      <xdr:row>4</xdr:row>
      <xdr:rowOff>145523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315189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8" name="Rechteck 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758825</xdr:colOff>
      <xdr:row>5</xdr:row>
      <xdr:rowOff>13727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  <xdr:twoCellAnchor>
    <xdr:from>
      <xdr:col>4</xdr:col>
      <xdr:colOff>781050</xdr:colOff>
      <xdr:row>0</xdr:row>
      <xdr:rowOff>19050</xdr:rowOff>
    </xdr:from>
    <xdr:to>
      <xdr:col>7</xdr:col>
      <xdr:colOff>457814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315189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Option Button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Option Button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Option Button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8"/>
  <sheetViews>
    <sheetView tabSelected="1" zoomScaleNormal="100" workbookViewId="0"/>
  </sheetViews>
  <sheetFormatPr baseColWidth="10" defaultColWidth="11.42578125" defaultRowHeight="12.75" x14ac:dyDescent="0.2"/>
  <cols>
    <col min="1" max="1" width="12.140625" style="5" customWidth="1"/>
    <col min="2" max="2" width="22.42578125" style="5" customWidth="1"/>
    <col min="3" max="3" width="14.42578125" style="5" bestFit="1" customWidth="1"/>
    <col min="4" max="4" width="14.140625" style="56" customWidth="1"/>
    <col min="5" max="5" width="12.5703125" style="5" customWidth="1"/>
    <col min="6" max="6" width="15.5703125" style="5" bestFit="1" customWidth="1"/>
    <col min="7" max="16384" width="11.42578125" style="5"/>
  </cols>
  <sheetData>
    <row r="1" spans="1:10" s="69" customFormat="1" x14ac:dyDescent="0.2"/>
    <row r="2" spans="1:10" s="69" customFormat="1" ht="15.75" x14ac:dyDescent="0.25">
      <c r="B2" s="70"/>
      <c r="C2" s="5"/>
      <c r="D2" s="5"/>
    </row>
    <row r="3" spans="1:10" s="69" customFormat="1" ht="15.75" x14ac:dyDescent="0.25">
      <c r="B3" s="70"/>
      <c r="C3" s="5"/>
      <c r="D3" s="5"/>
    </row>
    <row r="4" spans="1:10" s="69" customFormat="1" ht="15.75" x14ac:dyDescent="0.25">
      <c r="B4" s="70"/>
      <c r="C4" s="5"/>
      <c r="D4" s="5"/>
    </row>
    <row r="5" spans="1:10" s="69" customFormat="1" x14ac:dyDescent="0.2"/>
    <row r="6" spans="1:10" x14ac:dyDescent="0.2">
      <c r="A6" s="1"/>
      <c r="B6" s="1"/>
      <c r="C6" s="1"/>
      <c r="D6" s="55"/>
      <c r="E6" s="1"/>
      <c r="F6" s="1"/>
    </row>
    <row r="7" spans="1:10" ht="15.75" customHeight="1" x14ac:dyDescent="0.2">
      <c r="A7" s="96" t="str">
        <f>VLOOKUP("&lt;Fachbereich&gt;",Uebersetzungen!$B$3:$E$32,Uebersetzungen!$B$2+1,FALSE)</f>
        <v>Daten &amp; Statistik</v>
      </c>
      <c r="B7" s="96"/>
      <c r="C7" s="96"/>
      <c r="D7" s="96"/>
      <c r="E7" s="54"/>
      <c r="F7" s="2"/>
    </row>
    <row r="8" spans="1:10" ht="10.5" customHeight="1" x14ac:dyDescent="0.2"/>
    <row r="9" spans="1:10" ht="18" x14ac:dyDescent="0.25">
      <c r="A9" s="3" t="str">
        <f>VLOOKUP("&lt;Titel1&gt;",Uebersetzungen!$B$3:$E$105,Uebersetzungen!$B$2+1,FALSE)</f>
        <v>Hotel- und Kurbetriebe: Logiernächte in der Sommersaison 2023, nach Herkunft</v>
      </c>
      <c r="B9" s="4"/>
      <c r="C9" s="4"/>
      <c r="D9" s="57"/>
      <c r="E9" s="4"/>
      <c r="F9" s="4"/>
    </row>
    <row r="10" spans="1:10" s="93" customFormat="1" x14ac:dyDescent="0.2">
      <c r="A10" s="89" t="str">
        <f>VLOOKUP("&lt;Titelprov&gt;",Uebersetzungen!$B$3:$E$105,Uebersetzungen!$B$2+1,FALSE)</f>
        <v>definitive Ergebnisse</v>
      </c>
      <c r="B10" s="90"/>
      <c r="C10" s="91"/>
      <c r="D10" s="91"/>
      <c r="E10" s="91"/>
      <c r="F10" s="91"/>
      <c r="G10" s="91"/>
    </row>
    <row r="11" spans="1:10" ht="13.5" thickBot="1" x14ac:dyDescent="0.25"/>
    <row r="12" spans="1:10" ht="38.25" x14ac:dyDescent="0.2">
      <c r="A12" s="9"/>
      <c r="B12" s="10"/>
      <c r="C12" s="17" t="str">
        <f>VLOOKUP("&lt;SpaltenTitel_1&gt;",Uebersetzungen!$B$3:$E$105,Uebersetzungen!$B$2+1,FALSE)</f>
        <v>Sommersaison 
2023</v>
      </c>
      <c r="D12" s="81" t="str">
        <f>VLOOKUP("&lt;SpaltenTitel_2&gt;",Uebersetzungen!$B$3:$E$105,Uebersetzungen!$B$2+1,FALSE)</f>
        <v>Sommersaison 2022</v>
      </c>
      <c r="E12" s="81" t="str">
        <f>VLOOKUP("&lt;SpaltenTitel_3&gt;",Uebersetzungen!$B$3:$E$105,Uebersetzungen!$B$2+1,FALSE)</f>
        <v>Veränderung 23/22 in %</v>
      </c>
      <c r="F12" s="82" t="str">
        <f>VLOOKUP("&lt;SpaltenTitel_4&gt;",Uebersetzungen!$B$3:$E$105,Uebersetzungen!$B$2+1,FALSE)</f>
        <v>Veränderung zum
5-Jahresmittel 
in %</v>
      </c>
    </row>
    <row r="13" spans="1:10" x14ac:dyDescent="0.2">
      <c r="A13" s="18" t="str">
        <f>VLOOKUP("&lt;Zeilentitel_1&gt;",Uebersetzungen!$B$3:$E$75,Uebersetzungen!$B$2+1,FALSE)</f>
        <v>Schweiz</v>
      </c>
      <c r="B13" s="6"/>
      <c r="C13" s="43">
        <v>1644450</v>
      </c>
      <c r="D13" s="58">
        <v>1779588</v>
      </c>
      <c r="E13" s="44">
        <f>C13/D13-1</f>
        <v>-7.593780133379191E-2</v>
      </c>
      <c r="F13" s="45">
        <v>-7.9695169206923322E-2</v>
      </c>
      <c r="H13" s="16"/>
    </row>
    <row r="14" spans="1:10" x14ac:dyDescent="0.2">
      <c r="A14" s="18" t="str">
        <f>VLOOKUP("&lt;Zeilentitel_2&gt;",Uebersetzungen!$B$3:$E$75,Uebersetzungen!$B$2+1,FALSE)</f>
        <v>Deutschland</v>
      </c>
      <c r="B14" s="6"/>
      <c r="C14" s="43">
        <v>313870</v>
      </c>
      <c r="D14" s="58">
        <v>338892</v>
      </c>
      <c r="E14" s="44">
        <f t="shared" ref="E14:E34" si="0">C14/D14-1</f>
        <v>-7.3834732009017578E-2</v>
      </c>
      <c r="F14" s="45">
        <v>1.5323501534938E-2</v>
      </c>
      <c r="H14" s="16"/>
      <c r="I14" s="16"/>
      <c r="J14" s="16"/>
    </row>
    <row r="15" spans="1:10" x14ac:dyDescent="0.2">
      <c r="A15" s="18" t="str">
        <f>VLOOKUP("&lt;Zeilentitel_3&gt;",Uebersetzungen!$B$3:$E$75,Uebersetzungen!$B$2+1,FALSE)</f>
        <v>Italien</v>
      </c>
      <c r="B15" s="6"/>
      <c r="C15" s="43">
        <v>40113</v>
      </c>
      <c r="D15" s="58">
        <v>44739</v>
      </c>
      <c r="E15" s="44">
        <f t="shared" si="0"/>
        <v>-0.10339971836652584</v>
      </c>
      <c r="F15" s="45">
        <v>7.0159431425278695E-2</v>
      </c>
    </row>
    <row r="16" spans="1:10" x14ac:dyDescent="0.2">
      <c r="A16" s="18" t="str">
        <f>VLOOKUP("&lt;Zeilentitel_4&gt;",Uebersetzungen!$B$3:$E$75,Uebersetzungen!$B$2+1,FALSE)</f>
        <v>Frankreich</v>
      </c>
      <c r="B16" s="6"/>
      <c r="C16" s="43">
        <v>26607</v>
      </c>
      <c r="D16" s="58">
        <v>25143</v>
      </c>
      <c r="E16" s="44">
        <f t="shared" si="0"/>
        <v>5.8226941892375539E-2</v>
      </c>
      <c r="F16" s="45">
        <v>0.2663246268656716</v>
      </c>
    </row>
    <row r="17" spans="1:6" x14ac:dyDescent="0.2">
      <c r="A17" s="18" t="str">
        <f>VLOOKUP("&lt;Zeilentitel_5&gt;",Uebersetzungen!$B$3:$E$75,Uebersetzungen!$B$2+1,FALSE)</f>
        <v>Österreich</v>
      </c>
      <c r="B17" s="6"/>
      <c r="C17" s="43">
        <v>25363</v>
      </c>
      <c r="D17" s="58">
        <v>25820</v>
      </c>
      <c r="E17" s="44">
        <f t="shared" si="0"/>
        <v>-1.7699457784663086E-2</v>
      </c>
      <c r="F17" s="45">
        <v>8.2140815264231337E-2</v>
      </c>
    </row>
    <row r="18" spans="1:6" x14ac:dyDescent="0.2">
      <c r="A18" s="18" t="str">
        <f>VLOOKUP("&lt;Zeilentitel_6&gt;",Uebersetzungen!$B$3:$E$75,Uebersetzungen!$B$2+1,FALSE)</f>
        <v>Niederlande</v>
      </c>
      <c r="B18" s="6"/>
      <c r="C18" s="43">
        <v>51092</v>
      </c>
      <c r="D18" s="58">
        <v>49665</v>
      </c>
      <c r="E18" s="44">
        <f t="shared" si="0"/>
        <v>2.873250780227532E-2</v>
      </c>
      <c r="F18" s="45">
        <v>0.27315587761835225</v>
      </c>
    </row>
    <row r="19" spans="1:6" x14ac:dyDescent="0.2">
      <c r="A19" s="18" t="str">
        <f>VLOOKUP("&lt;Zeilentitel_7&gt;",Uebersetzungen!$B$3:$E$75,Uebersetzungen!$B$2+1,FALSE)</f>
        <v>Belgien</v>
      </c>
      <c r="B19" s="6"/>
      <c r="C19" s="43">
        <v>101234</v>
      </c>
      <c r="D19" s="58">
        <v>116325</v>
      </c>
      <c r="E19" s="44">
        <f t="shared" si="0"/>
        <v>-0.12973135611433484</v>
      </c>
      <c r="F19" s="45">
        <v>0.26268812349233039</v>
      </c>
    </row>
    <row r="20" spans="1:6" x14ac:dyDescent="0.2">
      <c r="A20" s="18" t="str">
        <f>VLOOKUP("&lt;Zeilentitel_8&gt;",Uebersetzungen!$B$3:$E$75,Uebersetzungen!$B$2+1,FALSE)</f>
        <v>Luxemburg</v>
      </c>
      <c r="B20" s="6"/>
      <c r="C20" s="43">
        <v>3758</v>
      </c>
      <c r="D20" s="58">
        <v>3843</v>
      </c>
      <c r="E20" s="44">
        <f t="shared" si="0"/>
        <v>-2.2118136872235183E-2</v>
      </c>
      <c r="F20" s="45">
        <v>5.0366146794119215E-2</v>
      </c>
    </row>
    <row r="21" spans="1:6" x14ac:dyDescent="0.2">
      <c r="A21" s="18" t="str">
        <f>VLOOKUP("&lt;Zeilentitel_9&gt;",Uebersetzungen!$B$3:$E$75,Uebersetzungen!$B$2+1,FALSE)</f>
        <v>Vereinigtes Königreich</v>
      </c>
      <c r="B21" s="6"/>
      <c r="C21" s="43">
        <v>56072</v>
      </c>
      <c r="D21" s="58">
        <v>52874</v>
      </c>
      <c r="E21" s="44">
        <f t="shared" si="0"/>
        <v>6.0483413397889318E-2</v>
      </c>
      <c r="F21" s="45">
        <v>0.46289029888128241</v>
      </c>
    </row>
    <row r="22" spans="1:6" x14ac:dyDescent="0.2">
      <c r="A22" s="18" t="str">
        <f>VLOOKUP("&lt;Zeilentitel_10&gt;",Uebersetzungen!$B$3:$E$75,Uebersetzungen!$B$2+1,FALSE)</f>
        <v>Vereinigte Staaten</v>
      </c>
      <c r="B22" s="6"/>
      <c r="C22" s="43">
        <v>71135</v>
      </c>
      <c r="D22" s="58">
        <v>65034</v>
      </c>
      <c r="E22" s="44">
        <f t="shared" si="0"/>
        <v>9.3812467324783988E-2</v>
      </c>
      <c r="F22" s="45">
        <v>0.6508164155689844</v>
      </c>
    </row>
    <row r="23" spans="1:6" x14ac:dyDescent="0.2">
      <c r="A23" s="18" t="str">
        <f>VLOOKUP("&lt;Zeilentitel_11&gt;",Uebersetzungen!$B$3:$E$75,Uebersetzungen!$B$2+1,FALSE)</f>
        <v>Polen</v>
      </c>
      <c r="B23" s="6"/>
      <c r="C23" s="43">
        <v>8344</v>
      </c>
      <c r="D23" s="58">
        <v>8052</v>
      </c>
      <c r="E23" s="44">
        <f t="shared" si="0"/>
        <v>3.6264282165921591E-2</v>
      </c>
      <c r="F23" s="45">
        <v>0.60430686406460299</v>
      </c>
    </row>
    <row r="24" spans="1:6" x14ac:dyDescent="0.2">
      <c r="A24" s="18" t="str">
        <f>VLOOKUP("&lt;Zeilentitel_12&gt;",Uebersetzungen!$B$3:$E$75,Uebersetzungen!$B$2+1,FALSE)</f>
        <v>Tschechien</v>
      </c>
      <c r="B24" s="6"/>
      <c r="C24" s="43">
        <v>10079</v>
      </c>
      <c r="D24" s="58">
        <v>8788</v>
      </c>
      <c r="E24" s="44">
        <f t="shared" si="0"/>
        <v>0.14690487027765142</v>
      </c>
      <c r="F24" s="45">
        <v>0.42447283622590293</v>
      </c>
    </row>
    <row r="25" spans="1:6" x14ac:dyDescent="0.2">
      <c r="A25" s="18" t="str">
        <f>VLOOKUP("&lt;Zeilentitel_13&gt;",Uebersetzungen!$B$3:$E$75,Uebersetzungen!$B$2+1,FALSE)</f>
        <v>Russland</v>
      </c>
      <c r="B25" s="6"/>
      <c r="C25" s="43">
        <v>1363</v>
      </c>
      <c r="D25" s="58">
        <v>1248</v>
      </c>
      <c r="E25" s="44">
        <f t="shared" si="0"/>
        <v>9.2147435897435903E-2</v>
      </c>
      <c r="F25" s="45">
        <v>-0.56328099967958989</v>
      </c>
    </row>
    <row r="26" spans="1:6" x14ac:dyDescent="0.2">
      <c r="A26" s="18" t="str">
        <f>VLOOKUP("&lt;Zeilentitel_14&gt;",Uebersetzungen!$B$3:$E$75,Uebersetzungen!$B$2+1,FALSE)</f>
        <v>Schweden</v>
      </c>
      <c r="B26" s="6"/>
      <c r="C26" s="43">
        <v>6992</v>
      </c>
      <c r="D26" s="58">
        <v>7273</v>
      </c>
      <c r="E26" s="44">
        <f t="shared" si="0"/>
        <v>-3.8636051148081996E-2</v>
      </c>
      <c r="F26" s="45">
        <v>0.3751868460388641</v>
      </c>
    </row>
    <row r="27" spans="1:6" x14ac:dyDescent="0.2">
      <c r="A27" s="18" t="str">
        <f>VLOOKUP("&lt;Zeilentitel_15&gt;",Uebersetzungen!$B$3:$E$75,Uebersetzungen!$B$2+1,FALSE)</f>
        <v>Norwegen</v>
      </c>
      <c r="B27" s="6"/>
      <c r="C27" s="43">
        <v>4146</v>
      </c>
      <c r="D27" s="58">
        <v>4166</v>
      </c>
      <c r="E27" s="44">
        <f t="shared" si="0"/>
        <v>-4.8007681228996457E-3</v>
      </c>
      <c r="F27" s="45">
        <v>0.4281777471581123</v>
      </c>
    </row>
    <row r="28" spans="1:6" x14ac:dyDescent="0.2">
      <c r="A28" s="18" t="str">
        <f>VLOOKUP("&lt;Zeilentitel_16&gt;",Uebersetzungen!$B$3:$E$75,Uebersetzungen!$B$2+1,FALSE)</f>
        <v>Dänemark</v>
      </c>
      <c r="B28" s="6"/>
      <c r="C28" s="43">
        <v>6785</v>
      </c>
      <c r="D28" s="58">
        <v>6897</v>
      </c>
      <c r="E28" s="44">
        <f t="shared" si="0"/>
        <v>-1.6238944468609517E-2</v>
      </c>
      <c r="F28" s="45">
        <v>0.29652984789421399</v>
      </c>
    </row>
    <row r="29" spans="1:6" x14ac:dyDescent="0.2">
      <c r="A29" s="18" t="str">
        <f>VLOOKUP("&lt;Zeilentitel_17&gt;",Uebersetzungen!$B$3:$E$75,Uebersetzungen!$B$2+1,FALSE)</f>
        <v>Finnland</v>
      </c>
      <c r="B29" s="6"/>
      <c r="C29" s="43">
        <v>3786</v>
      </c>
      <c r="D29" s="58">
        <v>3137</v>
      </c>
      <c r="E29" s="44">
        <f t="shared" si="0"/>
        <v>0.20688555945170539</v>
      </c>
      <c r="F29" s="45">
        <v>0.79210451576256746</v>
      </c>
    </row>
    <row r="30" spans="1:6" x14ac:dyDescent="0.2">
      <c r="A30" s="18" t="str">
        <f>VLOOKUP("&lt;Zeilentitel_18&gt;",Uebersetzungen!$B$3:$E$75,Uebersetzungen!$B$2+1,FALSE)</f>
        <v>Japan</v>
      </c>
      <c r="B30" s="6"/>
      <c r="C30" s="43">
        <v>12778</v>
      </c>
      <c r="D30" s="58">
        <v>2914</v>
      </c>
      <c r="E30" s="44">
        <f t="shared" si="0"/>
        <v>3.3850377487989016</v>
      </c>
      <c r="F30" s="45">
        <v>-3.0486046829238611E-2</v>
      </c>
    </row>
    <row r="31" spans="1:6" x14ac:dyDescent="0.2">
      <c r="A31" s="18" t="str">
        <f>VLOOKUP("&lt;Zeilentitel_19&gt;",Uebersetzungen!$B$3:$E$75,Uebersetzungen!$B$2+1,FALSE)</f>
        <v>China / Hongkong / Taiwan (Chin. Taipei)</v>
      </c>
      <c r="B31" s="6"/>
      <c r="C31" s="43">
        <v>23609</v>
      </c>
      <c r="D31" s="58">
        <v>3590</v>
      </c>
      <c r="E31" s="44">
        <f t="shared" si="0"/>
        <v>5.5763231197771583</v>
      </c>
      <c r="F31" s="45">
        <v>0.34860792176486033</v>
      </c>
    </row>
    <row r="32" spans="1:6" x14ac:dyDescent="0.2">
      <c r="A32" s="18" t="str">
        <f>VLOOKUP("&lt;Zeilentitel_20&gt;",Uebersetzungen!$B$3:$E$75,Uebersetzungen!$B$2+1,FALSE)</f>
        <v xml:space="preserve">Indien </v>
      </c>
      <c r="B32" s="6"/>
      <c r="C32" s="47">
        <v>7410</v>
      </c>
      <c r="D32" s="58">
        <v>4864</v>
      </c>
      <c r="E32" s="44">
        <f t="shared" si="0"/>
        <v>0.5234375</v>
      </c>
      <c r="F32" s="45">
        <v>0.81120453656628877</v>
      </c>
    </row>
    <row r="33" spans="1:7" x14ac:dyDescent="0.2">
      <c r="A33" s="18" t="str">
        <f>VLOOKUP("&lt;Zeilentitel_21&gt;",Uebersetzungen!$B$3:$E$75,Uebersetzungen!$B$2+1,FALSE)</f>
        <v>Brasilien</v>
      </c>
      <c r="B33" s="6"/>
      <c r="C33" s="43">
        <v>3864</v>
      </c>
      <c r="D33" s="58">
        <v>3143</v>
      </c>
      <c r="E33" s="44">
        <f t="shared" si="0"/>
        <v>0.2293986636971046</v>
      </c>
      <c r="F33" s="45">
        <v>0.75285792052259115</v>
      </c>
    </row>
    <row r="34" spans="1:7" x14ac:dyDescent="0.2">
      <c r="A34" s="18" t="str">
        <f>VLOOKUP("&lt;Zeilentitel_22&gt;",Uebersetzungen!$B$3:$E$75,Uebersetzungen!$B$2+1,FALSE)</f>
        <v>Golfstaaten</v>
      </c>
      <c r="B34" s="6"/>
      <c r="C34" s="47">
        <v>11343</v>
      </c>
      <c r="D34" s="59">
        <v>10517</v>
      </c>
      <c r="E34" s="44">
        <f t="shared" si="0"/>
        <v>7.8539507464105762E-2</v>
      </c>
      <c r="F34" s="45">
        <v>0.42085880348732352</v>
      </c>
    </row>
    <row r="35" spans="1:7" x14ac:dyDescent="0.2">
      <c r="A35" s="18" t="str">
        <f>VLOOKUP("&lt;Zeilentitel_23&gt;",Uebersetzungen!$B$3:$E$75,Uebersetzungen!$B$2+1,FALSE)</f>
        <v>Übrige Herkunftsländer</v>
      </c>
      <c r="B35" s="6"/>
      <c r="C35" s="95">
        <f>C36-SUM(C13:C34)</f>
        <v>90711</v>
      </c>
      <c r="D35" s="60">
        <f>D36-SUM(D13:D34)</f>
        <v>71086</v>
      </c>
      <c r="E35" s="44">
        <f>C35/D35-1</f>
        <v>0.27607405114931205</v>
      </c>
      <c r="F35" s="46" t="s">
        <v>263</v>
      </c>
    </row>
    <row r="36" spans="1:7" ht="13.5" thickBot="1" x14ac:dyDescent="0.25">
      <c r="A36" s="20" t="str">
        <f>VLOOKUP("&lt;Zeilentitel_24&gt;",Uebersetzungen!$B$3:$E$75,Uebersetzungen!$B$2+1,FALSE)</f>
        <v>Graubünden</v>
      </c>
      <c r="B36" s="19"/>
      <c r="C36" s="24">
        <f>C61</f>
        <v>2524904</v>
      </c>
      <c r="D36" s="61">
        <f>D61</f>
        <v>2637598</v>
      </c>
      <c r="E36" s="13">
        <f>C36/D36-1</f>
        <v>-4.2725995394294336E-2</v>
      </c>
      <c r="F36" s="39">
        <f>F61</f>
        <v>1.9884969728081181E-3</v>
      </c>
    </row>
    <row r="37" spans="1:7" x14ac:dyDescent="0.2">
      <c r="C37" s="16"/>
      <c r="D37" s="62"/>
      <c r="E37" s="22"/>
      <c r="F37" s="21"/>
    </row>
    <row r="38" spans="1:7" ht="10.5" customHeight="1" x14ac:dyDescent="0.2"/>
    <row r="39" spans="1:7" ht="18" x14ac:dyDescent="0.25">
      <c r="A39" s="3" t="str">
        <f>VLOOKUP("&lt;Titel2&gt;",Uebersetzungen!$B$3:$E$105,Uebersetzungen!$B$2+1,FALSE)</f>
        <v>Hotel- und Kurbetriebe: Logiernächte in der Sommersaison 2023, nach Destinationen</v>
      </c>
      <c r="B39" s="4"/>
      <c r="C39" s="4"/>
      <c r="D39" s="57"/>
      <c r="E39" s="4"/>
      <c r="F39" s="4"/>
    </row>
    <row r="40" spans="1:7" s="93" customFormat="1" x14ac:dyDescent="0.2">
      <c r="A40" s="89" t="str">
        <f>VLOOKUP("&lt;Titelprov&gt;",Uebersetzungen!$B$3:$E$105,Uebersetzungen!$B$2+1,FALSE)</f>
        <v>definitive Ergebnisse</v>
      </c>
      <c r="B40" s="90"/>
      <c r="C40" s="91"/>
      <c r="D40" s="91"/>
      <c r="E40" s="91"/>
      <c r="F40" s="91"/>
      <c r="G40" s="91"/>
    </row>
    <row r="41" spans="1:7" ht="13.5" thickBot="1" x14ac:dyDescent="0.25"/>
    <row r="42" spans="1:7" ht="38.25" x14ac:dyDescent="0.2">
      <c r="A42" s="9"/>
      <c r="B42" s="10"/>
      <c r="C42" s="17" t="str">
        <f>VLOOKUP("&lt;SpaltenTitel_1&gt;",Uebersetzungen!$B$3:$E$105,Uebersetzungen!$B$2+1,FALSE)</f>
        <v>Sommersaison 
2023</v>
      </c>
      <c r="D42" s="81" t="str">
        <f>VLOOKUP("&lt;SpaltenTitel_2&gt;",Uebersetzungen!$B$3:$E$105,Uebersetzungen!$B$2+1,FALSE)</f>
        <v>Sommersaison 2022</v>
      </c>
      <c r="E42" s="81" t="str">
        <f>VLOOKUP("&lt;SpaltenTitel_3&gt;",Uebersetzungen!$B$3:$E$105,Uebersetzungen!$B$2+1,FALSE)</f>
        <v>Veränderung 23/22 in %</v>
      </c>
      <c r="F42" s="82" t="str">
        <f>VLOOKUP("&lt;SpaltenTitel_4&gt;",Uebersetzungen!$B$3:$E$105,Uebersetzungen!$B$2+1,FALSE)</f>
        <v>Veränderung zum
5-Jahresmittel 
in %</v>
      </c>
    </row>
    <row r="43" spans="1:7" x14ac:dyDescent="0.2">
      <c r="A43" s="18" t="str">
        <f>VLOOKUP("&lt;Zeilentitel_25&gt;",Uebersetzungen!$B$3:$E$75,Uebersetzungen!$B$2+1,FALSE)</f>
        <v>Arosa</v>
      </c>
      <c r="B43" s="6"/>
      <c r="C43" s="14">
        <v>121797</v>
      </c>
      <c r="D43" s="63">
        <v>121892</v>
      </c>
      <c r="E43" s="11">
        <f>C43/D43-1</f>
        <v>-7.7937846618314488E-4</v>
      </c>
      <c r="F43" s="36">
        <v>-6.2844805431632955E-2</v>
      </c>
    </row>
    <row r="44" spans="1:7" x14ac:dyDescent="0.2">
      <c r="A44" s="18" t="str">
        <f>VLOOKUP("&lt;Zeilentitel_26&gt;",Uebersetzungen!$B$3:$E$75,Uebersetzungen!$B$2+1,FALSE)</f>
        <v>Bergün Filisur</v>
      </c>
      <c r="B44" s="6"/>
      <c r="C44" s="14">
        <v>36192</v>
      </c>
      <c r="D44" s="63">
        <v>40583</v>
      </c>
      <c r="E44" s="11">
        <f t="shared" ref="E44:E61" si="1">C44/D44-1</f>
        <v>-0.10819801394672646</v>
      </c>
      <c r="F44" s="36">
        <v>1.6883009050399078E-3</v>
      </c>
    </row>
    <row r="45" spans="1:7" x14ac:dyDescent="0.2">
      <c r="A45" s="18" t="str">
        <f>VLOOKUP("&lt;Zeilentitel_27&gt;",Uebersetzungen!$B$3:$E$75,Uebersetzungen!$B$2+1,FALSE)</f>
        <v>Bregaglia Engadin</v>
      </c>
      <c r="B45" s="6"/>
      <c r="C45" s="14">
        <v>33641</v>
      </c>
      <c r="D45" s="63">
        <v>38705</v>
      </c>
      <c r="E45" s="11">
        <f t="shared" si="1"/>
        <v>-0.13083580932696037</v>
      </c>
      <c r="F45" s="36">
        <v>3.3676447995083736E-2</v>
      </c>
    </row>
    <row r="46" spans="1:7" x14ac:dyDescent="0.2">
      <c r="A46" s="18" t="str">
        <f>VLOOKUP("&lt;Zeilentitel_28&gt;",Uebersetzungen!$B$3:$E$75,Uebersetzungen!$B$2+1,FALSE)</f>
        <v>Bündner Herrschaft</v>
      </c>
      <c r="B46" s="6"/>
      <c r="C46" s="14">
        <v>32889</v>
      </c>
      <c r="D46" s="63">
        <v>32274</v>
      </c>
      <c r="E46" s="11">
        <f t="shared" si="1"/>
        <v>1.9055586540249081E-2</v>
      </c>
      <c r="F46" s="36">
        <v>0.14854341130209447</v>
      </c>
    </row>
    <row r="47" spans="1:7" x14ac:dyDescent="0.2">
      <c r="A47" s="18" t="str">
        <f>VLOOKUP("&lt;Zeilentitel_29&gt;",Uebersetzungen!$B$3:$E$75,Uebersetzungen!$B$2+1,FALSE)</f>
        <v>Chur</v>
      </c>
      <c r="B47" s="6"/>
      <c r="C47" s="14">
        <v>131546</v>
      </c>
      <c r="D47" s="63">
        <v>125699</v>
      </c>
      <c r="E47" s="11">
        <f t="shared" si="1"/>
        <v>4.6515883181250439E-2</v>
      </c>
      <c r="F47" s="36">
        <v>0.22585034013605432</v>
      </c>
    </row>
    <row r="48" spans="1:7" x14ac:dyDescent="0.2">
      <c r="A48" s="18" t="str">
        <f>VLOOKUP("&lt;Zeilentitel_30&gt;",Uebersetzungen!$B$3:$E$75,Uebersetzungen!$B$2+1,FALSE)</f>
        <v>Davos Klosters</v>
      </c>
      <c r="B48" s="6"/>
      <c r="C48" s="14">
        <v>416395</v>
      </c>
      <c r="D48" s="63">
        <v>445020</v>
      </c>
      <c r="E48" s="11">
        <f t="shared" si="1"/>
        <v>-6.4322951777448178E-2</v>
      </c>
      <c r="F48" s="36">
        <v>-1.7424176280561365E-2</v>
      </c>
    </row>
    <row r="49" spans="1:6" x14ac:dyDescent="0.2">
      <c r="A49" s="18" t="str">
        <f>VLOOKUP("&lt;Zeilentitel_31&gt;",Uebersetzungen!$B$3:$E$75,Uebersetzungen!$B$2+1,FALSE)</f>
        <v>Disentis Sedrun</v>
      </c>
      <c r="B49" s="6"/>
      <c r="C49" s="14">
        <v>58228</v>
      </c>
      <c r="D49" s="63">
        <v>67166</v>
      </c>
      <c r="E49" s="11">
        <f t="shared" si="1"/>
        <v>-0.13307328112437844</v>
      </c>
      <c r="F49" s="36">
        <v>-8.5457601030328734E-2</v>
      </c>
    </row>
    <row r="50" spans="1:6" x14ac:dyDescent="0.2">
      <c r="A50" s="18" t="str">
        <f>VLOOKUP("&lt;Zeilentitel_32&gt;",Uebersetzungen!$B$3:$E$75,Uebersetzungen!$B$2+1,FALSE)</f>
        <v>Scuol Samnaun Val Müstair</v>
      </c>
      <c r="B50" s="6"/>
      <c r="C50" s="14">
        <v>267582</v>
      </c>
      <c r="D50" s="63">
        <v>274334</v>
      </c>
      <c r="E50" s="11">
        <f t="shared" si="1"/>
        <v>-2.4612333870391523E-2</v>
      </c>
      <c r="F50" s="36">
        <v>-7.531313952306995E-2</v>
      </c>
    </row>
    <row r="51" spans="1:6" x14ac:dyDescent="0.2">
      <c r="A51" s="18" t="str">
        <f>VLOOKUP("&lt;Zeilentitel_33&gt;",Uebersetzungen!$B$3:$E$75,Uebersetzungen!$B$2+1,FALSE)</f>
        <v>Engadin St. Moritz</v>
      </c>
      <c r="B51" s="6"/>
      <c r="C51" s="14">
        <v>808946</v>
      </c>
      <c r="D51" s="63">
        <v>841250</v>
      </c>
      <c r="E51" s="11">
        <f t="shared" si="1"/>
        <v>-3.839999999999999E-2</v>
      </c>
      <c r="F51" s="36">
        <v>3.6395940438999963E-2</v>
      </c>
    </row>
    <row r="52" spans="1:6" x14ac:dyDescent="0.2">
      <c r="A52" s="18" t="str">
        <f>VLOOKUP("&lt;Zeilentitel_34&gt;",Uebersetzungen!$B$3:$E$75,Uebersetzungen!$B$2+1,FALSE)</f>
        <v>Flims Laax</v>
      </c>
      <c r="B52" s="6"/>
      <c r="C52" s="14">
        <v>192982</v>
      </c>
      <c r="D52" s="63">
        <v>220697</v>
      </c>
      <c r="E52" s="11">
        <f t="shared" si="1"/>
        <v>-0.12557941431011754</v>
      </c>
      <c r="F52" s="36">
        <v>-4.6301677479550496E-2</v>
      </c>
    </row>
    <row r="53" spans="1:6" x14ac:dyDescent="0.2">
      <c r="A53" s="18" t="str">
        <f>VLOOKUP("&lt;Zeilentitel_35&gt;",Uebersetzungen!$B$3:$E$75,Uebersetzungen!$B$2+1,FALSE)</f>
        <v>Lenzerheide</v>
      </c>
      <c r="B53" s="6"/>
      <c r="C53" s="14">
        <v>135288</v>
      </c>
      <c r="D53" s="63">
        <v>136696</v>
      </c>
      <c r="E53" s="11">
        <f t="shared" si="1"/>
        <v>-1.0300228243694032E-2</v>
      </c>
      <c r="F53" s="36">
        <v>-6.7149153533425654E-2</v>
      </c>
    </row>
    <row r="54" spans="1:6" x14ac:dyDescent="0.2">
      <c r="A54" s="18" t="str">
        <f>VLOOKUP("&lt;Zeilentitel_36&gt;",Uebersetzungen!$B$3:$E$75,Uebersetzungen!$B$2+1,FALSE)</f>
        <v>Prättigau</v>
      </c>
      <c r="B54" s="6"/>
      <c r="C54" s="14">
        <v>37177</v>
      </c>
      <c r="D54" s="63">
        <v>38162</v>
      </c>
      <c r="E54" s="11">
        <f t="shared" si="1"/>
        <v>-2.5811016194119851E-2</v>
      </c>
      <c r="F54" s="36">
        <v>0.13127225146821653</v>
      </c>
    </row>
    <row r="55" spans="1:6" x14ac:dyDescent="0.2">
      <c r="A55" s="18" t="str">
        <f>VLOOKUP("&lt;Zeilentitel_37&gt;",Uebersetzungen!$B$3:$E$75,Uebersetzungen!$B$2+1,FALSE)</f>
        <v>San Bernardino, Mesolcina/Calanca</v>
      </c>
      <c r="B55" s="6"/>
      <c r="C55" s="14">
        <v>15055</v>
      </c>
      <c r="D55" s="63">
        <v>15565</v>
      </c>
      <c r="E55" s="11">
        <f t="shared" si="1"/>
        <v>-3.2765820751686436E-2</v>
      </c>
      <c r="F55" s="36">
        <v>0.12495143019398047</v>
      </c>
    </row>
    <row r="56" spans="1:6" x14ac:dyDescent="0.2">
      <c r="A56" s="18" t="str">
        <f>VLOOKUP("&lt;Zeilentitel_38&gt;",Uebersetzungen!$B$3:$E$75,Uebersetzungen!$B$2+1,FALSE)</f>
        <v>Val Surses</v>
      </c>
      <c r="B56" s="6"/>
      <c r="C56" s="14">
        <v>40856</v>
      </c>
      <c r="D56" s="63">
        <v>40930</v>
      </c>
      <c r="E56" s="11">
        <f t="shared" si="1"/>
        <v>-1.8079648179819552E-3</v>
      </c>
      <c r="F56" s="36">
        <v>0.12057663508850824</v>
      </c>
    </row>
    <row r="57" spans="1:6" x14ac:dyDescent="0.2">
      <c r="A57" s="18" t="str">
        <f>VLOOKUP("&lt;Zeilentitel_39&gt;",Uebersetzungen!$B$3:$E$75,Uebersetzungen!$B$2+1,FALSE)</f>
        <v>Surselva</v>
      </c>
      <c r="B57" s="6"/>
      <c r="C57" s="14">
        <v>47987</v>
      </c>
      <c r="D57" s="63">
        <v>50716</v>
      </c>
      <c r="E57" s="11">
        <f t="shared" si="1"/>
        <v>-5.3809448694692064E-2</v>
      </c>
      <c r="F57" s="36">
        <v>-0.10375367467156738</v>
      </c>
    </row>
    <row r="58" spans="1:6" x14ac:dyDescent="0.2">
      <c r="A58" s="18" t="str">
        <f>VLOOKUP("&lt;Zeilentitel_40&gt;",Uebersetzungen!$B$3:$E$75,Uebersetzungen!$B$2+1,FALSE)</f>
        <v>Valposchiavo</v>
      </c>
      <c r="B58" s="6"/>
      <c r="C58" s="14">
        <v>60658</v>
      </c>
      <c r="D58" s="63">
        <v>59087</v>
      </c>
      <c r="E58" s="11">
        <f t="shared" si="1"/>
        <v>2.6587912738842645E-2</v>
      </c>
      <c r="F58" s="36">
        <v>0.13757070199390875</v>
      </c>
    </row>
    <row r="59" spans="1:6" x14ac:dyDescent="0.2">
      <c r="A59" s="18" t="str">
        <f>VLOOKUP("&lt;Zeilentitel_41&gt;",Uebersetzungen!$B$3:$E$75,Uebersetzungen!$B$2+1,FALSE)</f>
        <v>Vals</v>
      </c>
      <c r="B59" s="6"/>
      <c r="C59" s="14">
        <v>30616</v>
      </c>
      <c r="D59" s="63">
        <v>33866</v>
      </c>
      <c r="E59" s="11">
        <f t="shared" si="1"/>
        <v>-9.5966456032599012E-2</v>
      </c>
      <c r="F59" s="36">
        <v>-0.13133284910114407</v>
      </c>
    </row>
    <row r="60" spans="1:6" x14ac:dyDescent="0.2">
      <c r="A60" s="18" t="str">
        <f>VLOOKUP("&lt;Zeilentitel_42&gt;",Uebersetzungen!$B$3:$E$75,Uebersetzungen!$B$2+1,FALSE)</f>
        <v>Viamala</v>
      </c>
      <c r="B60" s="8"/>
      <c r="C60" s="15">
        <v>57069</v>
      </c>
      <c r="D60" s="64">
        <v>54956</v>
      </c>
      <c r="E60" s="12">
        <f t="shared" si="1"/>
        <v>3.8448940970958523E-2</v>
      </c>
      <c r="F60" s="38">
        <v>2.3600439077936297E-2</v>
      </c>
    </row>
    <row r="61" spans="1:6" ht="13.5" thickBot="1" x14ac:dyDescent="0.25">
      <c r="A61" s="20" t="str">
        <f>VLOOKUP("&lt;Zeilentitel_43&gt;",Uebersetzungen!$B$3:$E$75,Uebersetzungen!$B$2+1,FALSE)</f>
        <v>Graubünden</v>
      </c>
      <c r="B61" s="7"/>
      <c r="C61" s="24">
        <v>2524904</v>
      </c>
      <c r="D61" s="65">
        <v>2637598</v>
      </c>
      <c r="E61" s="52">
        <f t="shared" si="1"/>
        <v>-4.2725995394294336E-2</v>
      </c>
      <c r="F61" s="53">
        <v>1.9884969728081181E-3</v>
      </c>
    </row>
    <row r="63" spans="1:6" x14ac:dyDescent="0.2">
      <c r="A63" s="5" t="str">
        <f>VLOOKUP("&lt;Legende_1&gt;",Uebersetzungen!$B$3:$E$77,Uebersetzungen!$B$2+1,FALSE)</f>
        <v>Aktuelle Zuordnung der politischen Gemeinden zu Destinationen:</v>
      </c>
      <c r="E63" s="68" t="s">
        <v>227</v>
      </c>
      <c r="F63" s="41"/>
    </row>
    <row r="64" spans="1:6" x14ac:dyDescent="0.2">
      <c r="E64" s="68"/>
      <c r="F64" s="41"/>
    </row>
    <row r="65" spans="1:7" ht="10.5" customHeight="1" x14ac:dyDescent="0.2"/>
    <row r="66" spans="1:7" ht="18" x14ac:dyDescent="0.25">
      <c r="A66" s="3" t="str">
        <f>VLOOKUP("&lt;Titel3&gt;",Uebersetzungen!$B$3:$E$105,Uebersetzungen!$B$2+1,FALSE)</f>
        <v>Hotel- und Kurbetriebe: Logiernächte in der Sommersaison 2023, nach Schweizer Tourismusregionen</v>
      </c>
      <c r="B66" s="4"/>
      <c r="C66" s="4"/>
      <c r="D66" s="57"/>
      <c r="E66" s="4"/>
      <c r="F66" s="4"/>
    </row>
    <row r="67" spans="1:7" s="93" customFormat="1" x14ac:dyDescent="0.2">
      <c r="A67" s="89" t="str">
        <f>VLOOKUP("&lt;Titelprov&gt;",Uebersetzungen!$B$3:$E$105,Uebersetzungen!$B$2+1,FALSE)</f>
        <v>definitive Ergebnisse</v>
      </c>
      <c r="B67" s="90"/>
      <c r="C67" s="91"/>
      <c r="D67" s="91"/>
      <c r="E67" s="91"/>
      <c r="F67" s="91"/>
      <c r="G67" s="91"/>
    </row>
    <row r="68" spans="1:7" ht="18.75" customHeight="1" thickBot="1" x14ac:dyDescent="0.3">
      <c r="A68" s="42"/>
    </row>
    <row r="69" spans="1:7" ht="38.25" x14ac:dyDescent="0.2">
      <c r="A69" s="9"/>
      <c r="B69" s="10"/>
      <c r="C69" s="17" t="str">
        <f>VLOOKUP("&lt;SpaltenTitel_1&gt;",Uebersetzungen!$B$3:$E$105,Uebersetzungen!$B$2+1,FALSE)</f>
        <v>Sommersaison 
2023</v>
      </c>
      <c r="D69" s="81" t="str">
        <f>VLOOKUP("&lt;SpaltenTitel_2&gt;",Uebersetzungen!$B$3:$E$105,Uebersetzungen!$B$2+1,FALSE)</f>
        <v>Sommersaison 2022</v>
      </c>
      <c r="E69" s="81" t="str">
        <f>VLOOKUP("&lt;SpaltenTitel_3&gt;",Uebersetzungen!$B$3:$E$105,Uebersetzungen!$B$2+1,FALSE)</f>
        <v>Veränderung 23/22 in %</v>
      </c>
      <c r="F69" s="82" t="str">
        <f>VLOOKUP("&lt;SpaltenTitel_4&gt;",Uebersetzungen!$B$3:$E$105,Uebersetzungen!$B$2+1,FALSE)</f>
        <v>Veränderung zum
5-Jahresmittel 
in %</v>
      </c>
    </row>
    <row r="70" spans="1:7" x14ac:dyDescent="0.2">
      <c r="A70" s="18" t="str">
        <f>VLOOKUP("&lt;Zeilentitel_44&gt;",Uebersetzungen!$B$3:$E$75,Uebersetzungen!$B$2+1,FALSE)</f>
        <v>Aargau und Solothurn Region</v>
      </c>
      <c r="B70" s="6"/>
      <c r="C70" s="14">
        <v>672086</v>
      </c>
      <c r="D70" s="63">
        <v>615541</v>
      </c>
      <c r="E70" s="11">
        <f>C70/D70-1</f>
        <v>9.1862280497968518E-2</v>
      </c>
      <c r="F70" s="36">
        <v>0.23097228139209536</v>
      </c>
    </row>
    <row r="71" spans="1:7" x14ac:dyDescent="0.2">
      <c r="A71" s="18" t="str">
        <f>VLOOKUP("&lt;Zeilentitel_45&gt;",Uebersetzungen!$B$3:$E$75,Uebersetzungen!$B$2+1,FALSE)</f>
        <v>Basel Region</v>
      </c>
      <c r="B71" s="6"/>
      <c r="C71" s="14">
        <v>966239</v>
      </c>
      <c r="D71" s="63">
        <v>929104</v>
      </c>
      <c r="E71" s="11">
        <f t="shared" ref="E71:E83" si="2">C71/D71-1</f>
        <v>3.9968614923625356E-2</v>
      </c>
      <c r="F71" s="36">
        <v>0.27397170689232819</v>
      </c>
    </row>
    <row r="72" spans="1:7" x14ac:dyDescent="0.2">
      <c r="A72" s="18" t="str">
        <f>VLOOKUP("&lt;Zeilentitel_46&gt;",Uebersetzungen!$B$3:$E$75,Uebersetzungen!$B$2+1,FALSE)</f>
        <v>Bern Region</v>
      </c>
      <c r="B72" s="6"/>
      <c r="C72" s="14">
        <v>3769970</v>
      </c>
      <c r="D72" s="63">
        <v>3302413</v>
      </c>
      <c r="E72" s="11">
        <f t="shared" si="2"/>
        <v>0.14158041407903865</v>
      </c>
      <c r="F72" s="36">
        <v>0.30659788662175225</v>
      </c>
    </row>
    <row r="73" spans="1:7" x14ac:dyDescent="0.2">
      <c r="A73" s="18" t="str">
        <f>VLOOKUP("&lt;Zeilentitel_47&gt;",Uebersetzungen!$B$3:$E$75,Uebersetzungen!$B$2+1,FALSE)</f>
        <v>Fribourg Region</v>
      </c>
      <c r="B73" s="6"/>
      <c r="C73" s="14">
        <v>306943</v>
      </c>
      <c r="D73" s="63">
        <v>296577</v>
      </c>
      <c r="E73" s="11">
        <f t="shared" si="2"/>
        <v>3.4952137219002255E-2</v>
      </c>
      <c r="F73" s="36">
        <v>0.1333519921898656</v>
      </c>
    </row>
    <row r="74" spans="1:7" x14ac:dyDescent="0.2">
      <c r="A74" s="18" t="str">
        <f>VLOOKUP("&lt;Zeilentitel_48&gt;",Uebersetzungen!$B$3:$E$75,Uebersetzungen!$B$2+1,FALSE)</f>
        <v>Genf</v>
      </c>
      <c r="B74" s="6"/>
      <c r="C74" s="14">
        <v>1999435</v>
      </c>
      <c r="D74" s="63">
        <v>1751919</v>
      </c>
      <c r="E74" s="11">
        <f t="shared" si="2"/>
        <v>0.14128278761746405</v>
      </c>
      <c r="F74" s="36">
        <v>0.4969925157674111</v>
      </c>
    </row>
    <row r="75" spans="1:7" x14ac:dyDescent="0.2">
      <c r="A75" s="94" t="str">
        <f>VLOOKUP("&lt;Zeilentitel_49&gt;",Uebersetzungen!$B$3:$E$75,Uebersetzungen!$B$2+1,FALSE)</f>
        <v>Graubünden</v>
      </c>
      <c r="B75" s="48"/>
      <c r="C75" s="49">
        <v>2524904</v>
      </c>
      <c r="D75" s="66">
        <v>2637598</v>
      </c>
      <c r="E75" s="50">
        <f t="shared" si="2"/>
        <v>-4.2725995394294336E-2</v>
      </c>
      <c r="F75" s="51">
        <v>1.9884969728081181E-3</v>
      </c>
    </row>
    <row r="76" spans="1:7" x14ac:dyDescent="0.2">
      <c r="A76" s="18" t="str">
        <f>VLOOKUP("&lt;Zeilentitel_50&gt;",Uebersetzungen!$B$3:$E$75,Uebersetzungen!$B$2+1,FALSE)</f>
        <v>Jura &amp; Drei-Seen-Land</v>
      </c>
      <c r="B76" s="6"/>
      <c r="C76" s="14">
        <v>378793</v>
      </c>
      <c r="D76" s="63">
        <v>379662</v>
      </c>
      <c r="E76" s="11">
        <f t="shared" si="2"/>
        <v>-2.2888780020122734E-3</v>
      </c>
      <c r="F76" s="36">
        <v>8.261833854455447E-2</v>
      </c>
    </row>
    <row r="77" spans="1:7" x14ac:dyDescent="0.2">
      <c r="A77" s="18" t="str">
        <f>VLOOKUP("&lt;Zeilentitel_51&gt;",Uebersetzungen!$B$3:$E$75,Uebersetzungen!$B$2+1,FALSE)</f>
        <v>Luzern / Vierwaldstättersee</v>
      </c>
      <c r="B77" s="6"/>
      <c r="C77" s="14">
        <v>2447464</v>
      </c>
      <c r="D77" s="63">
        <v>2211033</v>
      </c>
      <c r="E77" s="11">
        <f t="shared" si="2"/>
        <v>0.10693237052545124</v>
      </c>
      <c r="F77" s="36">
        <v>0.21212433374277895</v>
      </c>
    </row>
    <row r="78" spans="1:7" x14ac:dyDescent="0.2">
      <c r="A78" s="18" t="str">
        <f>VLOOKUP("&lt;Zeilentitel_52&gt;",Uebersetzungen!$B$3:$E$75,Uebersetzungen!$B$2+1,FALSE)</f>
        <v>Ostschweiz</v>
      </c>
      <c r="B78" s="6"/>
      <c r="C78" s="14">
        <v>1256010</v>
      </c>
      <c r="D78" s="63">
        <v>1232123</v>
      </c>
      <c r="E78" s="11">
        <f t="shared" si="2"/>
        <v>1.9386863162200507E-2</v>
      </c>
      <c r="F78" s="36">
        <v>9.1292303965582189E-2</v>
      </c>
    </row>
    <row r="79" spans="1:7" x14ac:dyDescent="0.2">
      <c r="A79" s="18" t="str">
        <f>VLOOKUP("&lt;Zeilentitel_53&gt;",Uebersetzungen!$B$3:$E$75,Uebersetzungen!$B$2+1,FALSE)</f>
        <v>Tessin</v>
      </c>
      <c r="B79" s="6"/>
      <c r="C79" s="14">
        <v>1736262</v>
      </c>
      <c r="D79" s="63">
        <v>1847681</v>
      </c>
      <c r="E79" s="11">
        <f t="shared" si="2"/>
        <v>-6.0302075953587275E-2</v>
      </c>
      <c r="F79" s="36">
        <v>-3.4689556639105001E-2</v>
      </c>
    </row>
    <row r="80" spans="1:7" x14ac:dyDescent="0.2">
      <c r="A80" s="18" t="str">
        <f>VLOOKUP("&lt;Zeilentitel_54&gt;",Uebersetzungen!$B$3:$E$75,Uebersetzungen!$B$2+1,FALSE)</f>
        <v>Waadt</v>
      </c>
      <c r="B80" s="6"/>
      <c r="C80" s="14">
        <v>1731839</v>
      </c>
      <c r="D80" s="63">
        <v>1629050</v>
      </c>
      <c r="E80" s="11">
        <f t="shared" si="2"/>
        <v>6.3097510819189129E-2</v>
      </c>
      <c r="F80" s="36">
        <v>0.18676236752869801</v>
      </c>
    </row>
    <row r="81" spans="1:6" x14ac:dyDescent="0.2">
      <c r="A81" s="18" t="str">
        <f>VLOOKUP("&lt;Zeilentitel_55&gt;",Uebersetzungen!$B$3:$E$75,Uebersetzungen!$B$2+1,FALSE)</f>
        <v>Wallis</v>
      </c>
      <c r="B81" s="6"/>
      <c r="C81" s="26">
        <v>2197592</v>
      </c>
      <c r="D81" s="63">
        <v>1979885</v>
      </c>
      <c r="E81" s="27">
        <f t="shared" si="2"/>
        <v>0.10995941683481614</v>
      </c>
      <c r="F81" s="36">
        <v>0.15192484742810985</v>
      </c>
    </row>
    <row r="82" spans="1:6" x14ac:dyDescent="0.2">
      <c r="A82" s="18" t="str">
        <f>VLOOKUP("&lt;Zeilentitel_56&gt;",Uebersetzungen!$B$3:$E$75,Uebersetzungen!$B$2+1,FALSE)</f>
        <v>Zürich Region</v>
      </c>
      <c r="B82" s="8"/>
      <c r="C82" s="34">
        <v>3999180</v>
      </c>
      <c r="D82" s="64">
        <v>3663478</v>
      </c>
      <c r="E82" s="35">
        <f t="shared" si="2"/>
        <v>9.1634779845818581E-2</v>
      </c>
      <c r="F82" s="40">
        <v>0.41941936683755254</v>
      </c>
    </row>
    <row r="83" spans="1:6" ht="13.5" thickBot="1" x14ac:dyDescent="0.25">
      <c r="A83" s="83" t="str">
        <f>VLOOKUP("&lt;Zeilentitel_57&gt;",Uebersetzungen!$B$3:$E$75,Uebersetzungen!$B$2+1,FALSE)</f>
        <v>Schweiz</v>
      </c>
      <c r="B83" s="32"/>
      <c r="C83" s="24">
        <v>23986717</v>
      </c>
      <c r="D83" s="65">
        <v>22476064</v>
      </c>
      <c r="E83" s="33">
        <f t="shared" si="2"/>
        <v>6.7211634563774103E-2</v>
      </c>
      <c r="F83" s="37">
        <v>0.21027202535648448</v>
      </c>
    </row>
    <row r="84" spans="1:6" x14ac:dyDescent="0.2">
      <c r="A84" s="28"/>
      <c r="B84" s="29"/>
      <c r="C84" s="23"/>
      <c r="D84" s="67"/>
      <c r="E84" s="30"/>
      <c r="F84" s="31"/>
    </row>
    <row r="85" spans="1:6" x14ac:dyDescent="0.2">
      <c r="A85" s="5" t="str">
        <f>VLOOKUP("&lt;Quelle_1&gt;",Uebersetzungen!$B$3:$E$97,Uebersetzungen!$B$2+1,FALSE)</f>
        <v>Quelle: BFS (HESTA)</v>
      </c>
    </row>
    <row r="86" spans="1:6" ht="12.75" customHeight="1" x14ac:dyDescent="0.2">
      <c r="A86" s="5" t="str">
        <f>VLOOKUP("&lt;Aktualisierung&gt;",Uebersetzungen!$B$3:$E$97,Uebersetzungen!$B$2+1,FALSE)</f>
        <v>Letztmals aktualisiert am: 22.02.2024</v>
      </c>
    </row>
    <row r="87" spans="1:6" x14ac:dyDescent="0.2">
      <c r="A87" s="5" t="str">
        <f>VLOOKUP("&lt;Legende_2&gt;",Uebersetzungen!$B$3:$E$97,Uebersetzungen!$B$2+1,FALSE)</f>
        <v>Kontakt: Luzius Stricker, 081 257 23 74, luzius.stricker@awt.gr.ch</v>
      </c>
    </row>
    <row r="88" spans="1:6" x14ac:dyDescent="0.2">
      <c r="A88" s="25"/>
    </row>
  </sheetData>
  <sheetProtection sheet="1" objects="1" scenarios="1"/>
  <mergeCells count="1">
    <mergeCell ref="A7:D7"/>
  </mergeCells>
  <hyperlinks>
    <hyperlink ref="E63" r:id="rId1" display="Liste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7" man="1"/>
    <brk id="65" max="7" man="1"/>
  </rowBreaks>
  <ignoredErrors>
    <ignoredError sqref="E36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Option Button 1">
              <controlPr defaultSize="0" autoFill="0" autoLine="0" autoPict="0">
                <anchor moveWithCells="1">
                  <from>
                    <xdr:col>5</xdr:col>
                    <xdr:colOff>552450</xdr:colOff>
                    <xdr:row>1</xdr:row>
                    <xdr:rowOff>114300</xdr:rowOff>
                  </from>
                  <to>
                    <xdr:col>6</xdr:col>
                    <xdr:colOff>533400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Option Button 2">
              <controlPr defaultSize="0" autoFill="0" autoLine="0" autoPict="0">
                <anchor moveWithCells="1">
                  <from>
                    <xdr:col>5</xdr:col>
                    <xdr:colOff>552450</xdr:colOff>
                    <xdr:row>2</xdr:row>
                    <xdr:rowOff>104775</xdr:rowOff>
                  </from>
                  <to>
                    <xdr:col>7</xdr:col>
                    <xdr:colOff>114300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Option Button 3">
              <controlPr defaultSize="0" autoFill="0" autoLine="0" autoPict="0">
                <anchor moveWithCells="1">
                  <from>
                    <xdr:col>5</xdr:col>
                    <xdr:colOff>552450</xdr:colOff>
                    <xdr:row>3</xdr:row>
                    <xdr:rowOff>66675</xdr:rowOff>
                  </from>
                  <to>
                    <xdr:col>6</xdr:col>
                    <xdr:colOff>533400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8"/>
  <sheetViews>
    <sheetView zoomScaleNormal="100" workbookViewId="0"/>
  </sheetViews>
  <sheetFormatPr baseColWidth="10" defaultColWidth="11.42578125" defaultRowHeight="12.75" x14ac:dyDescent="0.2"/>
  <cols>
    <col min="1" max="1" width="12.140625" style="5" customWidth="1"/>
    <col min="2" max="2" width="22.42578125" style="5" customWidth="1"/>
    <col min="3" max="3" width="14.42578125" style="5" bestFit="1" customWidth="1"/>
    <col min="4" max="4" width="14.140625" style="56" customWidth="1"/>
    <col min="5" max="5" width="12.5703125" style="5" customWidth="1"/>
    <col min="6" max="6" width="15.5703125" style="5" bestFit="1" customWidth="1"/>
    <col min="7" max="16384" width="11.42578125" style="5"/>
  </cols>
  <sheetData>
    <row r="1" spans="1:10" s="69" customFormat="1" x14ac:dyDescent="0.2"/>
    <row r="2" spans="1:10" s="69" customFormat="1" ht="15.75" x14ac:dyDescent="0.25">
      <c r="B2" s="70"/>
      <c r="C2" s="5"/>
      <c r="D2" s="5"/>
    </row>
    <row r="3" spans="1:10" s="69" customFormat="1" ht="15.75" x14ac:dyDescent="0.25">
      <c r="B3" s="70"/>
      <c r="C3" s="5"/>
      <c r="D3" s="5"/>
    </row>
    <row r="4" spans="1:10" s="69" customFormat="1" ht="15.75" x14ac:dyDescent="0.25">
      <c r="B4" s="70"/>
      <c r="C4" s="5"/>
      <c r="D4" s="5"/>
    </row>
    <row r="5" spans="1:10" s="69" customFormat="1" x14ac:dyDescent="0.2"/>
    <row r="6" spans="1:10" x14ac:dyDescent="0.2">
      <c r="A6" s="1"/>
      <c r="B6" s="1"/>
      <c r="C6" s="1"/>
      <c r="D6" s="55"/>
      <c r="E6" s="1"/>
      <c r="F6" s="1"/>
    </row>
    <row r="7" spans="1:10" ht="15.75" customHeight="1" x14ac:dyDescent="0.2">
      <c r="A7" s="96" t="str">
        <f>VLOOKUP("&lt;Fachbereich&gt;",Uebersetzungen!$B$3:$E$32,Uebersetzungen!$B$2+1,FALSE)</f>
        <v>Daten &amp; Statistik</v>
      </c>
      <c r="B7" s="96"/>
      <c r="C7" s="96"/>
      <c r="D7" s="96"/>
      <c r="E7" s="84"/>
      <c r="F7" s="2"/>
    </row>
    <row r="8" spans="1:10" ht="10.5" customHeight="1" x14ac:dyDescent="0.2"/>
    <row r="9" spans="1:10" ht="18" x14ac:dyDescent="0.25">
      <c r="A9" s="3" t="str">
        <f>VLOOKUP("&lt;T2Titel1&gt;",Uebersetzungen!$B$3:$E$105,Uebersetzungen!$B$2+1,FALSE)</f>
        <v>Hotel- und Kurbetriebe: Logiernächte in der Wintersaison 2022/23, nach Herkunft</v>
      </c>
      <c r="B9" s="4"/>
      <c r="C9" s="4"/>
      <c r="D9" s="57"/>
      <c r="E9" s="4"/>
      <c r="F9" s="4"/>
    </row>
    <row r="10" spans="1:10" s="93" customFormat="1" x14ac:dyDescent="0.2">
      <c r="A10" s="89" t="str">
        <f>VLOOKUP("&lt;Titelprov&gt;",Uebersetzungen!$B$3:$E$105,Uebersetzungen!$B$2+1,FALSE)</f>
        <v>definitive Ergebnisse</v>
      </c>
      <c r="B10" s="90"/>
      <c r="C10" s="91"/>
      <c r="D10" s="91"/>
      <c r="E10" s="91"/>
      <c r="F10" s="91"/>
      <c r="G10" s="91"/>
    </row>
    <row r="11" spans="1:10" ht="13.5" thickBot="1" x14ac:dyDescent="0.25"/>
    <row r="12" spans="1:10" ht="38.25" x14ac:dyDescent="0.2">
      <c r="A12" s="9"/>
      <c r="B12" s="10"/>
      <c r="C12" s="17" t="str">
        <f>VLOOKUP("&lt;T2SpaltenTitel_1&gt;",Uebersetzungen!$B$3:$E$105,Uebersetzungen!$B$2+1,FALSE)</f>
        <v>Wintersaison 2022/23</v>
      </c>
      <c r="D12" s="81" t="str">
        <f>VLOOKUP("&lt;T2SpaltenTitel_2&gt;",Uebersetzungen!$B$3:$E$105,Uebersetzungen!$B$2+1,FALSE)</f>
        <v>Wintersaison 2021/22</v>
      </c>
      <c r="E12" s="81" t="str">
        <f>VLOOKUP("&lt;T2SpaltenTitel_3&gt;",Uebersetzungen!$B$3:$E$105,Uebersetzungen!$B$2+1,FALSE)</f>
        <v>Veränderung 23/22 in %</v>
      </c>
      <c r="F12" s="82" t="str">
        <f>VLOOKUP("&lt;T2SpaltenTitel_4&gt;",Uebersetzungen!$B$3:$E$105,Uebersetzungen!$B$2+1,FALSE)</f>
        <v>Veränderung zum
5-Jahresmittel 
in %</v>
      </c>
    </row>
    <row r="13" spans="1:10" x14ac:dyDescent="0.2">
      <c r="A13" s="18" t="str">
        <f>VLOOKUP("&lt;Zeilentitel_1&gt;",Uebersetzungen!$B$3:$E$75,Uebersetzungen!$B$2+1,FALSE)</f>
        <v>Schweiz</v>
      </c>
      <c r="B13" s="6"/>
      <c r="C13" s="43">
        <v>1862090</v>
      </c>
      <c r="D13" s="58">
        <v>2027529</v>
      </c>
      <c r="E13" s="44">
        <f>C13/D13-1</f>
        <v>-8.1596366809056686E-2</v>
      </c>
      <c r="F13" s="45">
        <v>6.7946075344484935E-2</v>
      </c>
      <c r="H13" s="16"/>
    </row>
    <row r="14" spans="1:10" x14ac:dyDescent="0.2">
      <c r="A14" s="18" t="str">
        <f>VLOOKUP("&lt;Zeilentitel_2&gt;",Uebersetzungen!$B$3:$E$75,Uebersetzungen!$B$2+1,FALSE)</f>
        <v>Deutschland</v>
      </c>
      <c r="B14" s="6"/>
      <c r="C14" s="43">
        <v>429484</v>
      </c>
      <c r="D14" s="58">
        <v>407649</v>
      </c>
      <c r="E14" s="44">
        <f t="shared" ref="E14:E34" si="0">C14/D14-1</f>
        <v>5.3563237000458619E-2</v>
      </c>
      <c r="F14" s="45">
        <v>9.5640895994677289E-2</v>
      </c>
      <c r="H14" s="16"/>
      <c r="I14" s="16"/>
      <c r="J14" s="16"/>
    </row>
    <row r="15" spans="1:10" x14ac:dyDescent="0.2">
      <c r="A15" s="18" t="str">
        <f>VLOOKUP("&lt;Zeilentitel_3&gt;",Uebersetzungen!$B$3:$E$75,Uebersetzungen!$B$2+1,FALSE)</f>
        <v>Italien</v>
      </c>
      <c r="B15" s="6"/>
      <c r="C15" s="43">
        <v>59871</v>
      </c>
      <c r="D15" s="58">
        <v>48662</v>
      </c>
      <c r="E15" s="44">
        <f t="shared" si="0"/>
        <v>0.23034400558957713</v>
      </c>
      <c r="F15" s="45">
        <v>0.29922746408576018</v>
      </c>
    </row>
    <row r="16" spans="1:10" x14ac:dyDescent="0.2">
      <c r="A16" s="18" t="str">
        <f>VLOOKUP("&lt;Zeilentitel_4&gt;",Uebersetzungen!$B$3:$E$75,Uebersetzungen!$B$2+1,FALSE)</f>
        <v>Frankreich</v>
      </c>
      <c r="B16" s="6"/>
      <c r="C16" s="43">
        <v>28442</v>
      </c>
      <c r="D16" s="58">
        <v>29833</v>
      </c>
      <c r="E16" s="44">
        <f t="shared" si="0"/>
        <v>-4.6626219287366322E-2</v>
      </c>
      <c r="F16" s="45">
        <v>1.5604356364934846E-2</v>
      </c>
    </row>
    <row r="17" spans="1:6" x14ac:dyDescent="0.2">
      <c r="A17" s="18" t="str">
        <f>VLOOKUP("&lt;Zeilentitel_5&gt;",Uebersetzungen!$B$3:$E$75,Uebersetzungen!$B$2+1,FALSE)</f>
        <v>Österreich</v>
      </c>
      <c r="B17" s="6"/>
      <c r="C17" s="43">
        <v>20327</v>
      </c>
      <c r="D17" s="58">
        <v>20074</v>
      </c>
      <c r="E17" s="44">
        <f t="shared" si="0"/>
        <v>1.2603367540101607E-2</v>
      </c>
      <c r="F17" s="45">
        <v>0.1067131268035062</v>
      </c>
    </row>
    <row r="18" spans="1:6" x14ac:dyDescent="0.2">
      <c r="A18" s="18" t="str">
        <f>VLOOKUP("&lt;Zeilentitel_6&gt;",Uebersetzungen!$B$3:$E$75,Uebersetzungen!$B$2+1,FALSE)</f>
        <v>Niederlande</v>
      </c>
      <c r="B18" s="6"/>
      <c r="C18" s="43">
        <v>48742</v>
      </c>
      <c r="D18" s="58">
        <v>53602</v>
      </c>
      <c r="E18" s="44">
        <f t="shared" si="0"/>
        <v>-9.0668258647065403E-2</v>
      </c>
      <c r="F18" s="45">
        <v>0.15768472555399859</v>
      </c>
    </row>
    <row r="19" spans="1:6" x14ac:dyDescent="0.2">
      <c r="A19" s="18" t="str">
        <f>VLOOKUP("&lt;Zeilentitel_7&gt;",Uebersetzungen!$B$3:$E$75,Uebersetzungen!$B$2+1,FALSE)</f>
        <v>Belgien</v>
      </c>
      <c r="B19" s="6"/>
      <c r="C19" s="43">
        <v>34082</v>
      </c>
      <c r="D19" s="58">
        <v>39970</v>
      </c>
      <c r="E19" s="44">
        <f t="shared" si="0"/>
        <v>-0.14731048286214665</v>
      </c>
      <c r="F19" s="45">
        <v>0.22583893824407442</v>
      </c>
    </row>
    <row r="20" spans="1:6" x14ac:dyDescent="0.2">
      <c r="A20" s="18" t="str">
        <f>VLOOKUP("&lt;Zeilentitel_8&gt;",Uebersetzungen!$B$3:$E$75,Uebersetzungen!$B$2+1,FALSE)</f>
        <v>Luxemburg</v>
      </c>
      <c r="B20" s="6"/>
      <c r="C20" s="43">
        <v>10712</v>
      </c>
      <c r="D20" s="58">
        <v>10508</v>
      </c>
      <c r="E20" s="44">
        <f t="shared" si="0"/>
        <v>1.9413779977160317E-2</v>
      </c>
      <c r="F20" s="45">
        <v>2.6584631897724753E-2</v>
      </c>
    </row>
    <row r="21" spans="1:6" x14ac:dyDescent="0.2">
      <c r="A21" s="18" t="str">
        <f>VLOOKUP("&lt;Zeilentitel_9&gt;",Uebersetzungen!$B$3:$E$75,Uebersetzungen!$B$2+1,FALSE)</f>
        <v>Vereinigtes Königreich</v>
      </c>
      <c r="B21" s="6"/>
      <c r="C21" s="43">
        <v>96892</v>
      </c>
      <c r="D21" s="58">
        <v>90048</v>
      </c>
      <c r="E21" s="44">
        <f t="shared" si="0"/>
        <v>7.6003909026297167E-2</v>
      </c>
      <c r="F21" s="45">
        <v>0.26904045285826172</v>
      </c>
    </row>
    <row r="22" spans="1:6" x14ac:dyDescent="0.2">
      <c r="A22" s="18" t="str">
        <f>VLOOKUP("&lt;Zeilentitel_10&gt;",Uebersetzungen!$B$3:$E$75,Uebersetzungen!$B$2+1,FALSE)</f>
        <v>Vereinigte Staaten</v>
      </c>
      <c r="B22" s="6"/>
      <c r="C22" s="43">
        <v>59088</v>
      </c>
      <c r="D22" s="58">
        <v>33912</v>
      </c>
      <c r="E22" s="44">
        <f t="shared" si="0"/>
        <v>0.74239207360226467</v>
      </c>
      <c r="F22" s="45">
        <v>0.60044203923098172</v>
      </c>
    </row>
    <row r="23" spans="1:6" x14ac:dyDescent="0.2">
      <c r="A23" s="18" t="str">
        <f>VLOOKUP("&lt;Zeilentitel_11&gt;",Uebersetzungen!$B$3:$E$75,Uebersetzungen!$B$2+1,FALSE)</f>
        <v>Polen</v>
      </c>
      <c r="B23" s="6"/>
      <c r="C23" s="43">
        <v>19449</v>
      </c>
      <c r="D23" s="58">
        <v>39038</v>
      </c>
      <c r="E23" s="44">
        <f t="shared" si="0"/>
        <v>-0.50179312464777914</v>
      </c>
      <c r="F23" s="45">
        <v>-0.45360610419382386</v>
      </c>
    </row>
    <row r="24" spans="1:6" x14ac:dyDescent="0.2">
      <c r="A24" s="18" t="str">
        <f>VLOOKUP("&lt;Zeilentitel_12&gt;",Uebersetzungen!$B$3:$E$75,Uebersetzungen!$B$2+1,FALSE)</f>
        <v>Tschechien</v>
      </c>
      <c r="B24" s="6"/>
      <c r="C24" s="43">
        <v>12194</v>
      </c>
      <c r="D24" s="58">
        <v>12268</v>
      </c>
      <c r="E24" s="44">
        <f t="shared" si="0"/>
        <v>-6.0319530485817285E-3</v>
      </c>
      <c r="F24" s="45">
        <v>0.16914993576099269</v>
      </c>
    </row>
    <row r="25" spans="1:6" x14ac:dyDescent="0.2">
      <c r="A25" s="18" t="str">
        <f>VLOOKUP("&lt;Zeilentitel_13&gt;",Uebersetzungen!$B$3:$E$75,Uebersetzungen!$B$2+1,FALSE)</f>
        <v>Russland</v>
      </c>
      <c r="B25" s="6"/>
      <c r="C25" s="43">
        <v>8007</v>
      </c>
      <c r="D25" s="58">
        <v>11145</v>
      </c>
      <c r="E25" s="44">
        <f t="shared" si="0"/>
        <v>-0.28156123822341861</v>
      </c>
      <c r="F25" s="45">
        <v>-0.6567232006585153</v>
      </c>
    </row>
    <row r="26" spans="1:6" x14ac:dyDescent="0.2">
      <c r="A26" s="18" t="str">
        <f>VLOOKUP("&lt;Zeilentitel_14&gt;",Uebersetzungen!$B$3:$E$75,Uebersetzungen!$B$2+1,FALSE)</f>
        <v>Schweden</v>
      </c>
      <c r="B26" s="6"/>
      <c r="C26" s="43">
        <v>9734</v>
      </c>
      <c r="D26" s="58">
        <v>10701</v>
      </c>
      <c r="E26" s="44">
        <f t="shared" si="0"/>
        <v>-9.0365386412484816E-2</v>
      </c>
      <c r="F26" s="45">
        <v>-2.5937637593563712E-2</v>
      </c>
    </row>
    <row r="27" spans="1:6" x14ac:dyDescent="0.2">
      <c r="A27" s="18" t="str">
        <f>VLOOKUP("&lt;Zeilentitel_15&gt;",Uebersetzungen!$B$3:$E$75,Uebersetzungen!$B$2+1,FALSE)</f>
        <v>Norwegen</v>
      </c>
      <c r="B27" s="6"/>
      <c r="C27" s="43">
        <v>4118</v>
      </c>
      <c r="D27" s="58">
        <v>3759</v>
      </c>
      <c r="E27" s="44">
        <f t="shared" si="0"/>
        <v>9.5504123437084365E-2</v>
      </c>
      <c r="F27" s="45">
        <v>-4.715627747697726E-2</v>
      </c>
    </row>
    <row r="28" spans="1:6" x14ac:dyDescent="0.2">
      <c r="A28" s="18" t="str">
        <f>VLOOKUP("&lt;Zeilentitel_16&gt;",Uebersetzungen!$B$3:$E$75,Uebersetzungen!$B$2+1,FALSE)</f>
        <v>Dänemark</v>
      </c>
      <c r="B28" s="6"/>
      <c r="C28" s="43">
        <v>6406</v>
      </c>
      <c r="D28" s="58">
        <v>8091</v>
      </c>
      <c r="E28" s="44">
        <f t="shared" si="0"/>
        <v>-0.20825608701025833</v>
      </c>
      <c r="F28" s="45">
        <v>-0.11597482888054755</v>
      </c>
    </row>
    <row r="29" spans="1:6" x14ac:dyDescent="0.2">
      <c r="A29" s="18" t="str">
        <f>VLOOKUP("&lt;Zeilentitel_17&gt;",Uebersetzungen!$B$3:$E$75,Uebersetzungen!$B$2+1,FALSE)</f>
        <v>Finnland</v>
      </c>
      <c r="B29" s="6"/>
      <c r="C29" s="43">
        <v>4839</v>
      </c>
      <c r="D29" s="58">
        <v>4147</v>
      </c>
      <c r="E29" s="44">
        <f t="shared" si="0"/>
        <v>0.16686761514347714</v>
      </c>
      <c r="F29" s="45">
        <v>0.13177097951164729</v>
      </c>
    </row>
    <row r="30" spans="1:6" x14ac:dyDescent="0.2">
      <c r="A30" s="18" t="str">
        <f>VLOOKUP("&lt;Zeilentitel_18&gt;",Uebersetzungen!$B$3:$E$75,Uebersetzungen!$B$2+1,FALSE)</f>
        <v>Japan</v>
      </c>
      <c r="B30" s="6"/>
      <c r="C30" s="43">
        <v>2430</v>
      </c>
      <c r="D30" s="58">
        <v>1072</v>
      </c>
      <c r="E30" s="44">
        <f t="shared" si="0"/>
        <v>1.2667910447761193</v>
      </c>
      <c r="F30" s="45">
        <v>5.9469829089640713E-2</v>
      </c>
    </row>
    <row r="31" spans="1:6" x14ac:dyDescent="0.2">
      <c r="A31" s="18" t="str">
        <f>VLOOKUP("&lt;Zeilentitel_19&gt;",Uebersetzungen!$B$3:$E$75,Uebersetzungen!$B$2+1,FALSE)</f>
        <v>China / Hongkong / Taiwan (Chin. Taipei)</v>
      </c>
      <c r="B31" s="6"/>
      <c r="C31" s="43">
        <v>7226</v>
      </c>
      <c r="D31" s="58">
        <v>1901</v>
      </c>
      <c r="E31" s="44">
        <f t="shared" si="0"/>
        <v>2.8011572856391371</v>
      </c>
      <c r="F31" s="45">
        <v>-0.17083581952540494</v>
      </c>
    </row>
    <row r="32" spans="1:6" x14ac:dyDescent="0.2">
      <c r="A32" s="18" t="str">
        <f>VLOOKUP("&lt;Zeilentitel_20&gt;",Uebersetzungen!$B$3:$E$75,Uebersetzungen!$B$2+1,FALSE)</f>
        <v xml:space="preserve">Indien </v>
      </c>
      <c r="B32" s="6"/>
      <c r="C32" s="47">
        <v>4203</v>
      </c>
      <c r="D32" s="58">
        <v>1763</v>
      </c>
      <c r="E32" s="44">
        <f t="shared" si="0"/>
        <v>1.3840045377197958</v>
      </c>
      <c r="F32" s="45">
        <v>0.19525651234216812</v>
      </c>
    </row>
    <row r="33" spans="1:7" x14ac:dyDescent="0.2">
      <c r="A33" s="18" t="str">
        <f>VLOOKUP("&lt;Zeilentitel_21&gt;",Uebersetzungen!$B$3:$E$75,Uebersetzungen!$B$2+1,FALSE)</f>
        <v>Brasilien</v>
      </c>
      <c r="B33" s="6"/>
      <c r="C33" s="43">
        <v>16336</v>
      </c>
      <c r="D33" s="58">
        <v>15659</v>
      </c>
      <c r="E33" s="44">
        <f t="shared" si="0"/>
        <v>4.3233922983587636E-2</v>
      </c>
      <c r="F33" s="45">
        <v>0.43325904999210385</v>
      </c>
    </row>
    <row r="34" spans="1:7" x14ac:dyDescent="0.2">
      <c r="A34" s="18" t="str">
        <f>VLOOKUP("&lt;Zeilentitel_22&gt;",Uebersetzungen!$B$3:$E$75,Uebersetzungen!$B$2+1,FALSE)</f>
        <v>Golfstaaten</v>
      </c>
      <c r="B34" s="6"/>
      <c r="C34" s="47">
        <v>11922</v>
      </c>
      <c r="D34" s="59">
        <v>7093</v>
      </c>
      <c r="E34" s="44">
        <f t="shared" si="0"/>
        <v>0.68081206823628926</v>
      </c>
      <c r="F34" s="45">
        <v>0.77315723719436003</v>
      </c>
    </row>
    <row r="35" spans="1:7" x14ac:dyDescent="0.2">
      <c r="A35" s="18" t="str">
        <f>VLOOKUP("&lt;Zeilentitel_23&gt;",Uebersetzungen!$B$3:$E$75,Uebersetzungen!$B$2+1,FALSE)</f>
        <v>Übrige Herkunftsländer</v>
      </c>
      <c r="B35" s="6"/>
      <c r="C35" s="95">
        <f>C36-SUM(C13:C34)</f>
        <v>130638</v>
      </c>
      <c r="D35" s="60">
        <f>D36-SUM(D13:D34)</f>
        <v>90785</v>
      </c>
      <c r="E35" s="44">
        <f>C35/D35-1</f>
        <v>0.43898221071762955</v>
      </c>
      <c r="F35" s="46" t="s">
        <v>263</v>
      </c>
    </row>
    <row r="36" spans="1:7" ht="13.5" thickBot="1" x14ac:dyDescent="0.25">
      <c r="A36" s="20" t="str">
        <f>VLOOKUP("&lt;Zeilentitel_24&gt;",Uebersetzungen!$B$3:$E$75,Uebersetzungen!$B$2+1,FALSE)</f>
        <v>Graubünden</v>
      </c>
      <c r="B36" s="19"/>
      <c r="C36" s="24">
        <f>C61</f>
        <v>2887232</v>
      </c>
      <c r="D36" s="61">
        <f>D61</f>
        <v>2969209</v>
      </c>
      <c r="E36" s="13">
        <f>C36/D36-1</f>
        <v>-2.7609036615475757E-2</v>
      </c>
      <c r="F36" s="39">
        <f>F61</f>
        <v>9.2672446907463124E-2</v>
      </c>
    </row>
    <row r="37" spans="1:7" x14ac:dyDescent="0.2">
      <c r="C37" s="16"/>
      <c r="D37" s="62"/>
      <c r="E37" s="22"/>
      <c r="F37" s="21"/>
    </row>
    <row r="38" spans="1:7" ht="10.5" customHeight="1" x14ac:dyDescent="0.2"/>
    <row r="39" spans="1:7" ht="18" x14ac:dyDescent="0.25">
      <c r="A39" s="3" t="str">
        <f>VLOOKUP("&lt;T2Titel2&gt;",Uebersetzungen!$B$3:$E$105,Uebersetzungen!$B$2+1,FALSE)</f>
        <v>Hotel- und Kurbetriebe: Logiernächte in der Wintersaison 2022/23, nach Destinationen</v>
      </c>
      <c r="B39" s="4"/>
      <c r="C39" s="4"/>
      <c r="D39" s="57"/>
      <c r="E39" s="4"/>
      <c r="F39" s="4"/>
    </row>
    <row r="40" spans="1:7" s="93" customFormat="1" x14ac:dyDescent="0.2">
      <c r="A40" s="89" t="str">
        <f>VLOOKUP("&lt;Titelprov&gt;",Uebersetzungen!$B$3:$E$105,Uebersetzungen!$B$2+1,FALSE)</f>
        <v>definitive Ergebnisse</v>
      </c>
      <c r="B40" s="90"/>
      <c r="C40" s="91"/>
      <c r="D40" s="91"/>
      <c r="E40" s="91"/>
      <c r="F40" s="91"/>
      <c r="G40" s="91"/>
    </row>
    <row r="41" spans="1:7" ht="13.5" thickBot="1" x14ac:dyDescent="0.25"/>
    <row r="42" spans="1:7" ht="38.25" x14ac:dyDescent="0.2">
      <c r="A42" s="9"/>
      <c r="B42" s="10"/>
      <c r="C42" s="17" t="str">
        <f>VLOOKUP("&lt;T2SpaltenTitel_1&gt;",Uebersetzungen!$B$3:$E$105,Uebersetzungen!$B$2+1,FALSE)</f>
        <v>Wintersaison 2022/23</v>
      </c>
      <c r="D42" s="81" t="str">
        <f>VLOOKUP("&lt;T2SpaltenTitel_2&gt;",Uebersetzungen!$B$3:$E$105,Uebersetzungen!$B$2+1,FALSE)</f>
        <v>Wintersaison 2021/22</v>
      </c>
      <c r="E42" s="81" t="str">
        <f>VLOOKUP("&lt;T2SpaltenTitel_3&gt;",Uebersetzungen!$B$3:$E$105,Uebersetzungen!$B$2+1,FALSE)</f>
        <v>Veränderung 23/22 in %</v>
      </c>
      <c r="F42" s="82" t="str">
        <f>VLOOKUP("&lt;T2SpaltenTitel_4&gt;",Uebersetzungen!$B$3:$E$105,Uebersetzungen!$B$2+1,FALSE)</f>
        <v>Veränderung zum
5-Jahresmittel 
in %</v>
      </c>
    </row>
    <row r="43" spans="1:7" x14ac:dyDescent="0.2">
      <c r="A43" s="18" t="str">
        <f>VLOOKUP("&lt;Zeilentitel_25&gt;",Uebersetzungen!$B$3:$E$75,Uebersetzungen!$B$2+1,FALSE)</f>
        <v>Arosa</v>
      </c>
      <c r="B43" s="6"/>
      <c r="C43" s="14">
        <v>276696</v>
      </c>
      <c r="D43" s="63">
        <v>283027</v>
      </c>
      <c r="E43" s="11">
        <f>C43/D43-1</f>
        <v>-2.2368890600543367E-2</v>
      </c>
      <c r="F43" s="36">
        <v>0.12481523819435081</v>
      </c>
    </row>
    <row r="44" spans="1:7" x14ac:dyDescent="0.2">
      <c r="A44" s="18" t="str">
        <f>VLOOKUP("&lt;Zeilentitel_26&gt;",Uebersetzungen!$B$3:$E$75,Uebersetzungen!$B$2+1,FALSE)</f>
        <v>Bergün Filisur</v>
      </c>
      <c r="B44" s="6"/>
      <c r="C44" s="14">
        <v>28181</v>
      </c>
      <c r="D44" s="63">
        <v>26886</v>
      </c>
      <c r="E44" s="11">
        <f t="shared" ref="E44:E61" si="1">C44/D44-1</f>
        <v>4.8166331919958338E-2</v>
      </c>
      <c r="F44" s="36">
        <v>9.6904022357676034E-2</v>
      </c>
    </row>
    <row r="45" spans="1:7" x14ac:dyDescent="0.2">
      <c r="A45" s="18" t="str">
        <f>VLOOKUP("&lt;Zeilentitel_27&gt;",Uebersetzungen!$B$3:$E$75,Uebersetzungen!$B$2+1,FALSE)</f>
        <v>Bregaglia Engadin</v>
      </c>
      <c r="B45" s="6"/>
      <c r="C45" s="14">
        <v>18650</v>
      </c>
      <c r="D45" s="63">
        <v>22486</v>
      </c>
      <c r="E45" s="11">
        <f t="shared" si="1"/>
        <v>-0.17059503691185629</v>
      </c>
      <c r="F45" s="36">
        <v>-2.8240933722384343E-2</v>
      </c>
    </row>
    <row r="46" spans="1:7" x14ac:dyDescent="0.2">
      <c r="A46" s="18" t="str">
        <f>VLOOKUP("&lt;Zeilentitel_28&gt;",Uebersetzungen!$B$3:$E$75,Uebersetzungen!$B$2+1,FALSE)</f>
        <v>Bündner Herrschaft</v>
      </c>
      <c r="B46" s="6"/>
      <c r="C46" s="14">
        <v>21156</v>
      </c>
      <c r="D46" s="63">
        <v>17501</v>
      </c>
      <c r="E46" s="11">
        <f t="shared" si="1"/>
        <v>0.20884520884520885</v>
      </c>
      <c r="F46" s="36">
        <v>0.26470588235294112</v>
      </c>
    </row>
    <row r="47" spans="1:7" x14ac:dyDescent="0.2">
      <c r="A47" s="18" t="str">
        <f>VLOOKUP("&lt;Zeilentitel_29&gt;",Uebersetzungen!$B$3:$E$75,Uebersetzungen!$B$2+1,FALSE)</f>
        <v>Chur</v>
      </c>
      <c r="B47" s="6"/>
      <c r="C47" s="14">
        <v>91791</v>
      </c>
      <c r="D47" s="63">
        <v>78994</v>
      </c>
      <c r="E47" s="11">
        <f t="shared" si="1"/>
        <v>0.16199964554269952</v>
      </c>
      <c r="F47" s="36">
        <v>0.26551720334636664</v>
      </c>
    </row>
    <row r="48" spans="1:7" x14ac:dyDescent="0.2">
      <c r="A48" s="18" t="str">
        <f>VLOOKUP("&lt;Zeilentitel_30&gt;",Uebersetzungen!$B$3:$E$75,Uebersetzungen!$B$2+1,FALSE)</f>
        <v>Davos Klosters</v>
      </c>
      <c r="B48" s="6"/>
      <c r="C48" s="14">
        <v>535939</v>
      </c>
      <c r="D48" s="63">
        <v>544904</v>
      </c>
      <c r="E48" s="11">
        <f t="shared" si="1"/>
        <v>-1.6452439328762503E-2</v>
      </c>
      <c r="F48" s="36">
        <v>1.969064087621164E-2</v>
      </c>
    </row>
    <row r="49" spans="1:6" x14ac:dyDescent="0.2">
      <c r="A49" s="18" t="str">
        <f>VLOOKUP("&lt;Zeilentitel_31&gt;",Uebersetzungen!$B$3:$E$75,Uebersetzungen!$B$2+1,FALSE)</f>
        <v>Disentis Sedrun</v>
      </c>
      <c r="B49" s="6"/>
      <c r="C49" s="14">
        <v>75298</v>
      </c>
      <c r="D49" s="63">
        <v>76847</v>
      </c>
      <c r="E49" s="11">
        <f t="shared" si="1"/>
        <v>-2.0156935208921589E-2</v>
      </c>
      <c r="F49" s="36">
        <v>0.33633617645075309</v>
      </c>
    </row>
    <row r="50" spans="1:6" x14ac:dyDescent="0.2">
      <c r="A50" s="18" t="str">
        <f>VLOOKUP("&lt;Zeilentitel_32&gt;",Uebersetzungen!$B$3:$E$75,Uebersetzungen!$B$2+1,FALSE)</f>
        <v>Scuol Samnaun Val Müstair</v>
      </c>
      <c r="B50" s="6"/>
      <c r="C50" s="14">
        <v>268214</v>
      </c>
      <c r="D50" s="63">
        <v>281754</v>
      </c>
      <c r="E50" s="11">
        <f t="shared" si="1"/>
        <v>-4.8056105680842176E-2</v>
      </c>
      <c r="F50" s="36">
        <v>4.7262578208704387E-2</v>
      </c>
    </row>
    <row r="51" spans="1:6" x14ac:dyDescent="0.2">
      <c r="A51" s="18" t="str">
        <f>VLOOKUP("&lt;Zeilentitel_33&gt;",Uebersetzungen!$B$3:$E$75,Uebersetzungen!$B$2+1,FALSE)</f>
        <v>Engadin St. Moritz</v>
      </c>
      <c r="B51" s="6"/>
      <c r="C51" s="14">
        <v>869040</v>
      </c>
      <c r="D51" s="63">
        <v>860048</v>
      </c>
      <c r="E51" s="11">
        <f t="shared" si="1"/>
        <v>1.0455230405744809E-2</v>
      </c>
      <c r="F51" s="36">
        <v>0.14007296655896173</v>
      </c>
    </row>
    <row r="52" spans="1:6" x14ac:dyDescent="0.2">
      <c r="A52" s="18" t="str">
        <f>VLOOKUP("&lt;Zeilentitel_34&gt;",Uebersetzungen!$B$3:$E$75,Uebersetzungen!$B$2+1,FALSE)</f>
        <v>Flims Laax</v>
      </c>
      <c r="B52" s="6"/>
      <c r="C52" s="14">
        <v>284641</v>
      </c>
      <c r="D52" s="63">
        <v>336178</v>
      </c>
      <c r="E52" s="11">
        <f t="shared" si="1"/>
        <v>-0.15330271463331924</v>
      </c>
      <c r="F52" s="36">
        <v>6.8846157890072757E-2</v>
      </c>
    </row>
    <row r="53" spans="1:6" x14ac:dyDescent="0.2">
      <c r="A53" s="18" t="str">
        <f>VLOOKUP("&lt;Zeilentitel_35&gt;",Uebersetzungen!$B$3:$E$75,Uebersetzungen!$B$2+1,FALSE)</f>
        <v>Lenzerheide</v>
      </c>
      <c r="B53" s="6"/>
      <c r="C53" s="14">
        <v>181320</v>
      </c>
      <c r="D53" s="63">
        <v>193614</v>
      </c>
      <c r="E53" s="11">
        <f t="shared" si="1"/>
        <v>-6.349747435619324E-2</v>
      </c>
      <c r="F53" s="36">
        <v>1.6218470157409515E-2</v>
      </c>
    </row>
    <row r="54" spans="1:6" x14ac:dyDescent="0.2">
      <c r="A54" s="18" t="str">
        <f>VLOOKUP("&lt;Zeilentitel_36&gt;",Uebersetzungen!$B$3:$E$75,Uebersetzungen!$B$2+1,FALSE)</f>
        <v>Prättigau</v>
      </c>
      <c r="B54" s="6"/>
      <c r="C54" s="14">
        <v>45953</v>
      </c>
      <c r="D54" s="63">
        <v>37786</v>
      </c>
      <c r="E54" s="11">
        <f t="shared" si="1"/>
        <v>0.21613825226274286</v>
      </c>
      <c r="F54" s="36">
        <v>0.26767595959150103</v>
      </c>
    </row>
    <row r="55" spans="1:6" x14ac:dyDescent="0.2">
      <c r="A55" s="18" t="str">
        <f>VLOOKUP("&lt;Zeilentitel_37&gt;",Uebersetzungen!$B$3:$E$75,Uebersetzungen!$B$2+1,FALSE)</f>
        <v>San Bernardino, Mesolcina/Calanca</v>
      </c>
      <c r="B55" s="6"/>
      <c r="C55" s="14">
        <v>9291</v>
      </c>
      <c r="D55" s="63">
        <v>10976</v>
      </c>
      <c r="E55" s="11">
        <f t="shared" si="1"/>
        <v>-0.15351676384839652</v>
      </c>
      <c r="F55" s="36">
        <v>1.6276169849707811E-2</v>
      </c>
    </row>
    <row r="56" spans="1:6" x14ac:dyDescent="0.2">
      <c r="A56" s="18" t="str">
        <f>VLOOKUP("&lt;Zeilentitel_38&gt;",Uebersetzungen!$B$3:$E$75,Uebersetzungen!$B$2+1,FALSE)</f>
        <v>Val Surses</v>
      </c>
      <c r="B56" s="6"/>
      <c r="C56" s="14">
        <v>42596</v>
      </c>
      <c r="D56" s="63">
        <v>47882</v>
      </c>
      <c r="E56" s="11">
        <f t="shared" si="1"/>
        <v>-0.11039639112819011</v>
      </c>
      <c r="F56" s="36">
        <v>0.12090017262431063</v>
      </c>
    </row>
    <row r="57" spans="1:6" x14ac:dyDescent="0.2">
      <c r="A57" s="18" t="str">
        <f>VLOOKUP("&lt;Zeilentitel_39&gt;",Uebersetzungen!$B$3:$E$75,Uebersetzungen!$B$2+1,FALSE)</f>
        <v>Surselva</v>
      </c>
      <c r="B57" s="6"/>
      <c r="C57" s="14">
        <v>50783</v>
      </c>
      <c r="D57" s="63">
        <v>58689</v>
      </c>
      <c r="E57" s="11">
        <f t="shared" si="1"/>
        <v>-0.13471008195743661</v>
      </c>
      <c r="F57" s="36">
        <v>-1.6256571785007168E-2</v>
      </c>
    </row>
    <row r="58" spans="1:6" x14ac:dyDescent="0.2">
      <c r="A58" s="18" t="str">
        <f>VLOOKUP("&lt;Zeilentitel_40&gt;",Uebersetzungen!$B$3:$E$75,Uebersetzungen!$B$2+1,FALSE)</f>
        <v>Valposchiavo</v>
      </c>
      <c r="B58" s="6"/>
      <c r="C58" s="14">
        <v>15926</v>
      </c>
      <c r="D58" s="63">
        <v>14147</v>
      </c>
      <c r="E58" s="11">
        <f t="shared" si="1"/>
        <v>0.12575104262387793</v>
      </c>
      <c r="F58" s="36">
        <v>0.42700978459553429</v>
      </c>
    </row>
    <row r="59" spans="1:6" x14ac:dyDescent="0.2">
      <c r="A59" s="18" t="str">
        <f>VLOOKUP("&lt;Zeilentitel_41&gt;",Uebersetzungen!$B$3:$E$75,Uebersetzungen!$B$2+1,FALSE)</f>
        <v>Vals</v>
      </c>
      <c r="B59" s="6"/>
      <c r="C59" s="14">
        <v>37581</v>
      </c>
      <c r="D59" s="63">
        <v>41505</v>
      </c>
      <c r="E59" s="11">
        <f t="shared" si="1"/>
        <v>-9.4542826165522231E-2</v>
      </c>
      <c r="F59" s="36">
        <v>3.5711529769713257E-2</v>
      </c>
    </row>
    <row r="60" spans="1:6" x14ac:dyDescent="0.2">
      <c r="A60" s="18" t="str">
        <f>VLOOKUP("&lt;Zeilentitel_42&gt;",Uebersetzungen!$B$3:$E$75,Uebersetzungen!$B$2+1,FALSE)</f>
        <v>Viamala</v>
      </c>
      <c r="B60" s="8"/>
      <c r="C60" s="15">
        <v>34176</v>
      </c>
      <c r="D60" s="64">
        <v>35985</v>
      </c>
      <c r="E60" s="12">
        <f t="shared" si="1"/>
        <v>-5.027094622759487E-2</v>
      </c>
      <c r="F60" s="38">
        <v>-1.5515085871650514E-2</v>
      </c>
    </row>
    <row r="61" spans="1:6" ht="13.5" thickBot="1" x14ac:dyDescent="0.25">
      <c r="A61" s="20" t="str">
        <f>VLOOKUP("&lt;Zeilentitel_43&gt;",Uebersetzungen!$B$3:$E$75,Uebersetzungen!$B$2+1,FALSE)</f>
        <v>Graubünden</v>
      </c>
      <c r="B61" s="7"/>
      <c r="C61" s="24">
        <v>2887232</v>
      </c>
      <c r="D61" s="65">
        <v>2969209</v>
      </c>
      <c r="E61" s="52">
        <f t="shared" si="1"/>
        <v>-2.7609036615475757E-2</v>
      </c>
      <c r="F61" s="53">
        <v>9.2672446907463124E-2</v>
      </c>
    </row>
    <row r="63" spans="1:6" x14ac:dyDescent="0.2">
      <c r="A63" s="5" t="str">
        <f>VLOOKUP("&lt;Legende_1&gt;",Uebersetzungen!$B$3:$E$77,Uebersetzungen!$B$2+1,FALSE)</f>
        <v>Aktuelle Zuordnung der politischen Gemeinden zu Destinationen:</v>
      </c>
      <c r="E63" s="68" t="s">
        <v>227</v>
      </c>
      <c r="F63" s="41"/>
    </row>
    <row r="64" spans="1:6" x14ac:dyDescent="0.2">
      <c r="E64" s="68"/>
      <c r="F64" s="41"/>
    </row>
    <row r="65" spans="1:7" ht="10.5" customHeight="1" x14ac:dyDescent="0.2"/>
    <row r="66" spans="1:7" ht="18" x14ac:dyDescent="0.25">
      <c r="A66" s="3" t="str">
        <f>VLOOKUP("&lt;T2Titel3&gt;",Uebersetzungen!$B$3:$E$105,Uebersetzungen!$B$2+1,FALSE)</f>
        <v>Hotel- und Kurbetriebe: Logiernächte in der Wintersaison 2022/23, nach Schweizer Tourismusregionen</v>
      </c>
      <c r="B66" s="4"/>
      <c r="C66" s="4"/>
      <c r="D66" s="57"/>
      <c r="E66" s="4"/>
      <c r="F66" s="4"/>
    </row>
    <row r="67" spans="1:7" s="93" customFormat="1" x14ac:dyDescent="0.2">
      <c r="A67" s="89" t="str">
        <f>VLOOKUP("&lt;Titelprov&gt;",Uebersetzungen!$B$3:$E$105,Uebersetzungen!$B$2+1,FALSE)</f>
        <v>definitive Ergebnisse</v>
      </c>
      <c r="B67" s="90"/>
      <c r="C67" s="91"/>
      <c r="D67" s="91"/>
      <c r="E67" s="91"/>
      <c r="F67" s="91"/>
      <c r="G67" s="91"/>
    </row>
    <row r="68" spans="1:7" ht="18.75" customHeight="1" thickBot="1" x14ac:dyDescent="0.3">
      <c r="A68" s="42"/>
    </row>
    <row r="69" spans="1:7" ht="38.25" x14ac:dyDescent="0.2">
      <c r="A69" s="9"/>
      <c r="B69" s="10"/>
      <c r="C69" s="17" t="str">
        <f>VLOOKUP("&lt;T2SpaltenTitel_1&gt;",Uebersetzungen!$B$3:$E$105,Uebersetzungen!$B$2+1,FALSE)</f>
        <v>Wintersaison 2022/23</v>
      </c>
      <c r="D69" s="81" t="str">
        <f>VLOOKUP("&lt;T2SpaltenTitel_2&gt;",Uebersetzungen!$B$3:$E$105,Uebersetzungen!$B$2+1,FALSE)</f>
        <v>Wintersaison 2021/22</v>
      </c>
      <c r="E69" s="81" t="str">
        <f>VLOOKUP("&lt;T2SpaltenTitel_3&gt;",Uebersetzungen!$B$3:$E$105,Uebersetzungen!$B$2+1,FALSE)</f>
        <v>Veränderung 23/22 in %</v>
      </c>
      <c r="F69" s="82" t="str">
        <f>VLOOKUP("&lt;T2SpaltenTitel_4&gt;",Uebersetzungen!$B$3:$E$105,Uebersetzungen!$B$2+1,FALSE)</f>
        <v>Veränderung zum
5-Jahresmittel 
in %</v>
      </c>
    </row>
    <row r="70" spans="1:7" x14ac:dyDescent="0.2">
      <c r="A70" s="18" t="str">
        <f>VLOOKUP("&lt;Zeilentitel_44&gt;",Uebersetzungen!$B$3:$E$75,Uebersetzungen!$B$2+1,FALSE)</f>
        <v>Aargau und Solothurn Region</v>
      </c>
      <c r="B70" s="6"/>
      <c r="C70" s="14">
        <v>470754</v>
      </c>
      <c r="D70" s="63">
        <v>373870</v>
      </c>
      <c r="E70" s="11">
        <f>C70/D70-1</f>
        <v>0.25913820311873104</v>
      </c>
      <c r="F70" s="36">
        <v>0.26401344689443329</v>
      </c>
    </row>
    <row r="71" spans="1:7" x14ac:dyDescent="0.2">
      <c r="A71" s="18" t="str">
        <f>VLOOKUP("&lt;Zeilentitel_45&gt;",Uebersetzungen!$B$3:$E$75,Uebersetzungen!$B$2+1,FALSE)</f>
        <v>Basel Region</v>
      </c>
      <c r="B71" s="6"/>
      <c r="C71" s="14">
        <v>737433</v>
      </c>
      <c r="D71" s="63">
        <v>507578</v>
      </c>
      <c r="E71" s="11">
        <f t="shared" ref="E71:E83" si="2">C71/D71-1</f>
        <v>0.45284665608044472</v>
      </c>
      <c r="F71" s="36">
        <v>0.32623581338283625</v>
      </c>
    </row>
    <row r="72" spans="1:7" x14ac:dyDescent="0.2">
      <c r="A72" s="18" t="str">
        <f>VLOOKUP("&lt;Zeilentitel_46&gt;",Uebersetzungen!$B$3:$E$75,Uebersetzungen!$B$2+1,FALSE)</f>
        <v>Bern Region</v>
      </c>
      <c r="B72" s="6"/>
      <c r="C72" s="14">
        <v>2183252</v>
      </c>
      <c r="D72" s="63">
        <v>1835615</v>
      </c>
      <c r="E72" s="11">
        <f t="shared" si="2"/>
        <v>0.18938448421918541</v>
      </c>
      <c r="F72" s="36">
        <v>0.25278012786407666</v>
      </c>
    </row>
    <row r="73" spans="1:7" x14ac:dyDescent="0.2">
      <c r="A73" s="18" t="str">
        <f>VLOOKUP("&lt;Zeilentitel_47&gt;",Uebersetzungen!$B$3:$E$75,Uebersetzungen!$B$2+1,FALSE)</f>
        <v>Fribourg Region</v>
      </c>
      <c r="B73" s="6"/>
      <c r="C73" s="14">
        <v>188164</v>
      </c>
      <c r="D73" s="63">
        <v>164661</v>
      </c>
      <c r="E73" s="11">
        <f t="shared" si="2"/>
        <v>0.1427356811874092</v>
      </c>
      <c r="F73" s="36">
        <v>0.27513140025643046</v>
      </c>
    </row>
    <row r="74" spans="1:7" x14ac:dyDescent="0.2">
      <c r="A74" s="18" t="str">
        <f>VLOOKUP("&lt;Zeilentitel_48&gt;",Uebersetzungen!$B$3:$E$75,Uebersetzungen!$B$2+1,FALSE)</f>
        <v>Genf</v>
      </c>
      <c r="B74" s="6"/>
      <c r="C74" s="14">
        <v>1500999</v>
      </c>
      <c r="D74" s="63">
        <v>1030325</v>
      </c>
      <c r="E74" s="11">
        <f t="shared" si="2"/>
        <v>0.45682090602479808</v>
      </c>
      <c r="F74" s="36">
        <v>0.43300793243453795</v>
      </c>
    </row>
    <row r="75" spans="1:7" x14ac:dyDescent="0.2">
      <c r="A75" s="94" t="str">
        <f>VLOOKUP("&lt;Zeilentitel_49&gt;",Uebersetzungen!$B$3:$E$75,Uebersetzungen!$B$2+1,FALSE)</f>
        <v>Graubünden</v>
      </c>
      <c r="B75" s="48"/>
      <c r="C75" s="49">
        <v>2887232</v>
      </c>
      <c r="D75" s="66">
        <v>2969209</v>
      </c>
      <c r="E75" s="50">
        <f t="shared" si="2"/>
        <v>-2.7609036615475757E-2</v>
      </c>
      <c r="F75" s="51">
        <v>9.2672446907463124E-2</v>
      </c>
    </row>
    <row r="76" spans="1:7" x14ac:dyDescent="0.2">
      <c r="A76" s="18" t="str">
        <f>VLOOKUP("&lt;Zeilentitel_50&gt;",Uebersetzungen!$B$3:$E$75,Uebersetzungen!$B$2+1,FALSE)</f>
        <v>Jura &amp; Drei-Seen-Land</v>
      </c>
      <c r="B76" s="6"/>
      <c r="C76" s="14">
        <v>224721</v>
      </c>
      <c r="D76" s="63">
        <v>197735</v>
      </c>
      <c r="E76" s="11">
        <f t="shared" si="2"/>
        <v>0.13647558601158116</v>
      </c>
      <c r="F76" s="36">
        <v>0.22701808413052027</v>
      </c>
    </row>
    <row r="77" spans="1:7" x14ac:dyDescent="0.2">
      <c r="A77" s="18" t="str">
        <f>VLOOKUP("&lt;Zeilentitel_51&gt;",Uebersetzungen!$B$3:$E$75,Uebersetzungen!$B$2+1,FALSE)</f>
        <v>Luzern / Vierwaldstättersee</v>
      </c>
      <c r="B77" s="6"/>
      <c r="C77" s="14">
        <v>1469272</v>
      </c>
      <c r="D77" s="63">
        <v>1196469</v>
      </c>
      <c r="E77" s="11">
        <f t="shared" si="2"/>
        <v>0.22800674317512604</v>
      </c>
      <c r="F77" s="36">
        <v>0.22403346749389019</v>
      </c>
    </row>
    <row r="78" spans="1:7" x14ac:dyDescent="0.2">
      <c r="A78" s="18" t="str">
        <f>VLOOKUP("&lt;Zeilentitel_52&gt;",Uebersetzungen!$B$3:$E$75,Uebersetzungen!$B$2+1,FALSE)</f>
        <v>Ostschweiz</v>
      </c>
      <c r="B78" s="6"/>
      <c r="C78" s="14">
        <v>786012</v>
      </c>
      <c r="D78" s="63">
        <v>717262</v>
      </c>
      <c r="E78" s="11">
        <f t="shared" si="2"/>
        <v>9.5850609679587029E-2</v>
      </c>
      <c r="F78" s="36">
        <v>0.17296666497539204</v>
      </c>
    </row>
    <row r="79" spans="1:7" x14ac:dyDescent="0.2">
      <c r="A79" s="18" t="str">
        <f>VLOOKUP("&lt;Zeilentitel_53&gt;",Uebersetzungen!$B$3:$E$75,Uebersetzungen!$B$2+1,FALSE)</f>
        <v>Tessin</v>
      </c>
      <c r="B79" s="6"/>
      <c r="C79" s="14">
        <v>703859</v>
      </c>
      <c r="D79" s="63">
        <v>713293</v>
      </c>
      <c r="E79" s="11">
        <f t="shared" si="2"/>
        <v>-1.3225981469045633E-2</v>
      </c>
      <c r="F79" s="36">
        <v>0.16879521893561877</v>
      </c>
    </row>
    <row r="80" spans="1:7" x14ac:dyDescent="0.2">
      <c r="A80" s="18" t="str">
        <f>VLOOKUP("&lt;Zeilentitel_54&gt;",Uebersetzungen!$B$3:$E$75,Uebersetzungen!$B$2+1,FALSE)</f>
        <v>Waadt</v>
      </c>
      <c r="B80" s="6"/>
      <c r="C80" s="14">
        <v>1162282</v>
      </c>
      <c r="D80" s="63">
        <v>982920</v>
      </c>
      <c r="E80" s="11">
        <f t="shared" si="2"/>
        <v>0.18247873682497051</v>
      </c>
      <c r="F80" s="36">
        <v>0.19440872820784327</v>
      </c>
    </row>
    <row r="81" spans="1:6" x14ac:dyDescent="0.2">
      <c r="A81" s="18" t="str">
        <f>VLOOKUP("&lt;Zeilentitel_55&gt;",Uebersetzungen!$B$3:$E$75,Uebersetzungen!$B$2+1,FALSE)</f>
        <v>Wallis</v>
      </c>
      <c r="B81" s="6"/>
      <c r="C81" s="26">
        <v>2270144</v>
      </c>
      <c r="D81" s="63">
        <v>2159212</v>
      </c>
      <c r="E81" s="27">
        <f t="shared" si="2"/>
        <v>5.1376150188124248E-2</v>
      </c>
      <c r="F81" s="36">
        <v>0.1699844530783019</v>
      </c>
    </row>
    <row r="82" spans="1:6" x14ac:dyDescent="0.2">
      <c r="A82" s="18" t="str">
        <f>VLOOKUP("&lt;Zeilentitel_56&gt;",Uebersetzungen!$B$3:$E$75,Uebersetzungen!$B$2+1,FALSE)</f>
        <v>Zürich Region</v>
      </c>
      <c r="B82" s="8"/>
      <c r="C82" s="34">
        <v>2903599</v>
      </c>
      <c r="D82" s="64">
        <v>1892607</v>
      </c>
      <c r="E82" s="35">
        <f t="shared" si="2"/>
        <v>0.53417957346665212</v>
      </c>
      <c r="F82" s="40">
        <v>0.46209410459042122</v>
      </c>
    </row>
    <row r="83" spans="1:6" ht="13.5" thickBot="1" x14ac:dyDescent="0.25">
      <c r="A83" s="83" t="str">
        <f>VLOOKUP("&lt;Zeilentitel_57&gt;",Uebersetzungen!$B$3:$E$75,Uebersetzungen!$B$2+1,FALSE)</f>
        <v>Schweiz</v>
      </c>
      <c r="B83" s="32"/>
      <c r="C83" s="24">
        <v>17487723</v>
      </c>
      <c r="D83" s="65">
        <v>14740756</v>
      </c>
      <c r="E83" s="33">
        <f t="shared" si="2"/>
        <v>0.18635183975638703</v>
      </c>
      <c r="F83" s="37">
        <v>0.24346449086134414</v>
      </c>
    </row>
    <row r="84" spans="1:6" x14ac:dyDescent="0.2">
      <c r="A84" s="28"/>
      <c r="B84" s="29"/>
      <c r="C84" s="23"/>
      <c r="D84" s="67"/>
      <c r="E84" s="30"/>
      <c r="F84" s="31"/>
    </row>
    <row r="85" spans="1:6" x14ac:dyDescent="0.2">
      <c r="A85" s="5" t="str">
        <f>VLOOKUP("&lt;T2Quelle_1&gt;",Uebersetzungen!$B$3:$E$97,Uebersetzungen!$B$2+1,FALSE)</f>
        <v>Quelle: BFS (HESTA)</v>
      </c>
    </row>
    <row r="86" spans="1:6" ht="12.75" customHeight="1" x14ac:dyDescent="0.2">
      <c r="A86" s="5" t="str">
        <f>VLOOKUP("&lt;T2Aktualisierung&gt;",Uebersetzungen!$B$3:$E$97,Uebersetzungen!$B$2+1,FALSE)</f>
        <v>Letztmals aktualisiert am: 22.02.2024</v>
      </c>
    </row>
    <row r="87" spans="1:6" x14ac:dyDescent="0.2">
      <c r="A87" s="5" t="str">
        <f>VLOOKUP("&lt;Legende_2&gt;",Uebersetzungen!$B$3:$E$97,Uebersetzungen!$B$2+1,FALSE)</f>
        <v>Kontakt: Luzius Stricker, 081 257 23 74, luzius.stricker@awt.gr.ch</v>
      </c>
    </row>
    <row r="88" spans="1:6" x14ac:dyDescent="0.2">
      <c r="A88" s="25"/>
    </row>
  </sheetData>
  <sheetProtection sheet="1" objects="1" scenarios="1"/>
  <mergeCells count="1">
    <mergeCell ref="A7:D7"/>
  </mergeCells>
  <hyperlinks>
    <hyperlink ref="E63" r:id="rId1" display="Liste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7" man="1"/>
    <brk id="65" max="7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Option Button 1">
              <controlPr defaultSize="0" autoFill="0" autoLine="0" autoPict="0">
                <anchor moveWithCells="1">
                  <from>
                    <xdr:col>5</xdr:col>
                    <xdr:colOff>552450</xdr:colOff>
                    <xdr:row>1</xdr:row>
                    <xdr:rowOff>114300</xdr:rowOff>
                  </from>
                  <to>
                    <xdr:col>6</xdr:col>
                    <xdr:colOff>533400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Option Button 2">
              <controlPr defaultSize="0" autoFill="0" autoLine="0" autoPict="0">
                <anchor moveWithCells="1">
                  <from>
                    <xdr:col>5</xdr:col>
                    <xdr:colOff>552450</xdr:colOff>
                    <xdr:row>2</xdr:row>
                    <xdr:rowOff>104775</xdr:rowOff>
                  </from>
                  <to>
                    <xdr:col>7</xdr:col>
                    <xdr:colOff>114300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Option Button 3">
              <controlPr defaultSize="0" autoFill="0" autoLine="0" autoPict="0">
                <anchor moveWithCells="1">
                  <from>
                    <xdr:col>5</xdr:col>
                    <xdr:colOff>552450</xdr:colOff>
                    <xdr:row>3</xdr:row>
                    <xdr:rowOff>66675</xdr:rowOff>
                  </from>
                  <to>
                    <xdr:col>6</xdr:col>
                    <xdr:colOff>533400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Normal="100" workbookViewId="0"/>
  </sheetViews>
  <sheetFormatPr baseColWidth="10" defaultColWidth="12.5703125" defaultRowHeight="12.75" x14ac:dyDescent="0.2"/>
  <cols>
    <col min="1" max="1" width="8.5703125" style="71" bestFit="1" customWidth="1"/>
    <col min="2" max="2" width="17.7109375" style="71" bestFit="1" customWidth="1"/>
    <col min="3" max="3" width="53" style="71" customWidth="1"/>
    <col min="4" max="4" width="47.5703125" style="71" bestFit="1" customWidth="1"/>
    <col min="5" max="5" width="42.28515625" style="71" customWidth="1"/>
    <col min="6" max="16384" width="12.5703125" style="71"/>
  </cols>
  <sheetData>
    <row r="1" spans="1:6" x14ac:dyDescent="0.2">
      <c r="A1" s="72" t="s">
        <v>61</v>
      </c>
      <c r="B1" s="72" t="s">
        <v>62</v>
      </c>
      <c r="C1" s="72" t="s">
        <v>63</v>
      </c>
      <c r="D1" s="72" t="s">
        <v>64</v>
      </c>
      <c r="E1" s="72" t="s">
        <v>65</v>
      </c>
      <c r="F1" s="73"/>
    </row>
    <row r="2" spans="1:6" x14ac:dyDescent="0.2">
      <c r="A2" s="74" t="s">
        <v>66</v>
      </c>
      <c r="B2" s="75">
        <v>1</v>
      </c>
      <c r="C2" s="75"/>
      <c r="D2" s="73"/>
      <c r="E2" s="73"/>
      <c r="F2" s="73"/>
    </row>
    <row r="3" spans="1:6" x14ac:dyDescent="0.2">
      <c r="A3" s="74"/>
      <c r="B3" s="71" t="s">
        <v>67</v>
      </c>
      <c r="C3" s="71" t="s">
        <v>68</v>
      </c>
      <c r="D3" s="71" t="s">
        <v>69</v>
      </c>
      <c r="E3" s="71" t="s">
        <v>70</v>
      </c>
      <c r="F3" s="73"/>
    </row>
    <row r="4" spans="1:6" ht="38.25" x14ac:dyDescent="0.2">
      <c r="A4" s="74" t="s">
        <v>71</v>
      </c>
      <c r="B4" s="76" t="s">
        <v>108</v>
      </c>
      <c r="C4" s="76" t="s">
        <v>56</v>
      </c>
      <c r="D4" s="76" t="s">
        <v>221</v>
      </c>
      <c r="E4" s="76" t="s">
        <v>224</v>
      </c>
      <c r="F4" s="73"/>
    </row>
    <row r="5" spans="1:6" ht="25.5" x14ac:dyDescent="0.2">
      <c r="A5" s="74"/>
      <c r="B5" s="76" t="s">
        <v>109</v>
      </c>
      <c r="C5" s="76" t="s">
        <v>59</v>
      </c>
      <c r="D5" s="76" t="s">
        <v>222</v>
      </c>
      <c r="E5" s="76" t="s">
        <v>225</v>
      </c>
      <c r="F5" s="73"/>
    </row>
    <row r="6" spans="1:6" ht="38.25" x14ac:dyDescent="0.2">
      <c r="A6" s="74"/>
      <c r="B6" s="76" t="s">
        <v>110</v>
      </c>
      <c r="C6" s="76" t="s">
        <v>60</v>
      </c>
      <c r="D6" s="76" t="s">
        <v>223</v>
      </c>
      <c r="E6" s="76" t="s">
        <v>226</v>
      </c>
      <c r="F6" s="73"/>
    </row>
    <row r="7" spans="1:6" x14ac:dyDescent="0.2">
      <c r="A7" s="74"/>
      <c r="B7" s="76" t="s">
        <v>258</v>
      </c>
      <c r="C7" s="76" t="s">
        <v>261</v>
      </c>
      <c r="D7" s="76" t="s">
        <v>262</v>
      </c>
      <c r="E7" s="76" t="s">
        <v>260</v>
      </c>
      <c r="F7" s="73"/>
    </row>
    <row r="8" spans="1:6" ht="51" x14ac:dyDescent="0.2">
      <c r="A8" s="74"/>
      <c r="B8" s="92" t="s">
        <v>259</v>
      </c>
      <c r="C8" s="92" t="s">
        <v>261</v>
      </c>
      <c r="D8" s="92" t="s">
        <v>262</v>
      </c>
      <c r="E8" s="92" t="s">
        <v>260</v>
      </c>
      <c r="F8" s="73"/>
    </row>
    <row r="9" spans="1:6" x14ac:dyDescent="0.2">
      <c r="A9" s="74"/>
      <c r="B9" s="74"/>
      <c r="C9" s="74"/>
      <c r="D9" s="74"/>
      <c r="E9" s="74"/>
      <c r="F9" s="73"/>
    </row>
    <row r="10" spans="1:6" ht="25.5" x14ac:dyDescent="0.2">
      <c r="A10" s="74" t="s">
        <v>72</v>
      </c>
      <c r="B10" s="76" t="s">
        <v>73</v>
      </c>
      <c r="C10" s="76" t="s">
        <v>57</v>
      </c>
      <c r="D10" s="77" t="s">
        <v>219</v>
      </c>
      <c r="E10" s="77" t="s">
        <v>220</v>
      </c>
      <c r="F10" s="73"/>
    </row>
    <row r="11" spans="1:6" x14ac:dyDescent="0.2">
      <c r="A11" s="74"/>
      <c r="B11" s="76" t="s">
        <v>74</v>
      </c>
      <c r="C11" s="76" t="s">
        <v>58</v>
      </c>
      <c r="D11" s="77" t="s">
        <v>218</v>
      </c>
      <c r="E11" s="77" t="s">
        <v>217</v>
      </c>
      <c r="F11" s="73"/>
    </row>
    <row r="12" spans="1:6" x14ac:dyDescent="0.2">
      <c r="A12" s="74"/>
      <c r="B12" s="76" t="s">
        <v>75</v>
      </c>
      <c r="C12" s="76" t="s">
        <v>55</v>
      </c>
      <c r="D12" s="76" t="s">
        <v>111</v>
      </c>
      <c r="E12" s="76" t="s">
        <v>112</v>
      </c>
      <c r="F12" s="73"/>
    </row>
    <row r="13" spans="1:6" ht="38.25" x14ac:dyDescent="0.2">
      <c r="A13" s="74"/>
      <c r="B13" s="71" t="s">
        <v>113</v>
      </c>
      <c r="C13" s="71" t="s">
        <v>54</v>
      </c>
      <c r="D13" s="71" t="s">
        <v>114</v>
      </c>
      <c r="E13" s="78" t="s">
        <v>115</v>
      </c>
      <c r="F13" s="73"/>
    </row>
    <row r="14" spans="1:6" x14ac:dyDescent="0.2">
      <c r="A14" s="74"/>
      <c r="B14" s="73"/>
      <c r="C14" s="73"/>
      <c r="D14" s="73"/>
      <c r="E14" s="73"/>
      <c r="F14" s="73"/>
    </row>
    <row r="15" spans="1:6" x14ac:dyDescent="0.2">
      <c r="A15" s="74" t="s">
        <v>71</v>
      </c>
      <c r="B15" s="71" t="s">
        <v>76</v>
      </c>
      <c r="C15" s="71" t="s">
        <v>13</v>
      </c>
      <c r="D15" s="71" t="s">
        <v>116</v>
      </c>
      <c r="E15" s="71" t="s">
        <v>117</v>
      </c>
      <c r="F15" s="73"/>
    </row>
    <row r="16" spans="1:6" x14ac:dyDescent="0.2">
      <c r="A16" s="73"/>
      <c r="B16" s="71" t="s">
        <v>77</v>
      </c>
      <c r="C16" s="71" t="s">
        <v>14</v>
      </c>
      <c r="D16" s="71" t="s">
        <v>118</v>
      </c>
      <c r="E16" s="71" t="s">
        <v>118</v>
      </c>
      <c r="F16" s="73"/>
    </row>
    <row r="17" spans="1:6" x14ac:dyDescent="0.2">
      <c r="A17" s="73"/>
      <c r="B17" s="71" t="s">
        <v>78</v>
      </c>
      <c r="C17" s="71" t="s">
        <v>16</v>
      </c>
      <c r="D17" s="71" t="s">
        <v>119</v>
      </c>
      <c r="E17" s="71" t="s">
        <v>119</v>
      </c>
      <c r="F17" s="73"/>
    </row>
    <row r="18" spans="1:6" x14ac:dyDescent="0.2">
      <c r="A18" s="73"/>
      <c r="B18" s="71" t="s">
        <v>79</v>
      </c>
      <c r="C18" s="71" t="s">
        <v>18</v>
      </c>
      <c r="D18" s="71" t="s">
        <v>120</v>
      </c>
      <c r="E18" s="71" t="s">
        <v>121</v>
      </c>
      <c r="F18" s="73"/>
    </row>
    <row r="19" spans="1:6" x14ac:dyDescent="0.2">
      <c r="A19" s="73"/>
      <c r="B19" s="71" t="s">
        <v>80</v>
      </c>
      <c r="C19" s="71" t="s">
        <v>19</v>
      </c>
      <c r="D19" s="71" t="s">
        <v>122</v>
      </c>
      <c r="E19" s="71" t="s">
        <v>122</v>
      </c>
      <c r="F19" s="73"/>
    </row>
    <row r="20" spans="1:6" x14ac:dyDescent="0.2">
      <c r="A20" s="73"/>
      <c r="B20" s="71" t="s">
        <v>81</v>
      </c>
      <c r="C20" s="71" t="s">
        <v>15</v>
      </c>
      <c r="D20" s="71" t="s">
        <v>123</v>
      </c>
      <c r="E20" s="71" t="s">
        <v>124</v>
      </c>
      <c r="F20" s="73"/>
    </row>
    <row r="21" spans="1:6" x14ac:dyDescent="0.2">
      <c r="A21" s="73"/>
      <c r="B21" s="71" t="s">
        <v>82</v>
      </c>
      <c r="C21" s="71" t="s">
        <v>17</v>
      </c>
      <c r="D21" s="71" t="s">
        <v>125</v>
      </c>
      <c r="E21" s="71" t="s">
        <v>126</v>
      </c>
      <c r="F21" s="73"/>
    </row>
    <row r="22" spans="1:6" x14ac:dyDescent="0.2">
      <c r="A22" s="73"/>
      <c r="B22" s="71" t="s">
        <v>83</v>
      </c>
      <c r="C22" s="71" t="s">
        <v>21</v>
      </c>
      <c r="D22" s="71" t="s">
        <v>21</v>
      </c>
      <c r="E22" s="71" t="s">
        <v>127</v>
      </c>
      <c r="F22" s="73"/>
    </row>
    <row r="23" spans="1:6" x14ac:dyDescent="0.2">
      <c r="A23" s="73"/>
      <c r="B23" s="71" t="s">
        <v>84</v>
      </c>
      <c r="C23" s="71" t="s">
        <v>26</v>
      </c>
      <c r="D23" s="71" t="s">
        <v>128</v>
      </c>
      <c r="E23" s="71" t="s">
        <v>129</v>
      </c>
      <c r="F23" s="73"/>
    </row>
    <row r="24" spans="1:6" x14ac:dyDescent="0.2">
      <c r="A24" s="73"/>
      <c r="B24" s="71" t="s">
        <v>85</v>
      </c>
      <c r="C24" s="71" t="s">
        <v>49</v>
      </c>
      <c r="D24" s="71" t="s">
        <v>130</v>
      </c>
      <c r="E24" s="71" t="s">
        <v>131</v>
      </c>
      <c r="F24" s="73"/>
    </row>
    <row r="25" spans="1:6" x14ac:dyDescent="0.2">
      <c r="A25" s="73"/>
      <c r="B25" s="71" t="s">
        <v>86</v>
      </c>
      <c r="C25" s="71" t="s">
        <v>22</v>
      </c>
      <c r="D25" s="71" t="s">
        <v>132</v>
      </c>
      <c r="E25" s="71" t="s">
        <v>133</v>
      </c>
      <c r="F25" s="73"/>
    </row>
    <row r="26" spans="1:6" x14ac:dyDescent="0.2">
      <c r="A26" s="73"/>
      <c r="B26" s="71" t="s">
        <v>87</v>
      </c>
      <c r="C26" s="71" t="s">
        <v>48</v>
      </c>
      <c r="D26" s="71" t="s">
        <v>134</v>
      </c>
      <c r="E26" s="71" t="s">
        <v>135</v>
      </c>
      <c r="F26" s="73"/>
    </row>
    <row r="27" spans="1:6" x14ac:dyDescent="0.2">
      <c r="A27" s="73"/>
      <c r="B27" s="71" t="s">
        <v>88</v>
      </c>
      <c r="C27" s="71" t="s">
        <v>23</v>
      </c>
      <c r="D27" s="71" t="s">
        <v>136</v>
      </c>
      <c r="E27" s="71" t="s">
        <v>136</v>
      </c>
      <c r="F27" s="73"/>
    </row>
    <row r="28" spans="1:6" x14ac:dyDescent="0.2">
      <c r="A28" s="73"/>
      <c r="B28" s="71" t="s">
        <v>89</v>
      </c>
      <c r="C28" s="71" t="s">
        <v>42</v>
      </c>
      <c r="D28" s="71" t="s">
        <v>137</v>
      </c>
      <c r="E28" s="71" t="s">
        <v>137</v>
      </c>
      <c r="F28" s="73"/>
    </row>
    <row r="29" spans="1:6" x14ac:dyDescent="0.2">
      <c r="A29" s="73"/>
      <c r="B29" s="71" t="s">
        <v>90</v>
      </c>
      <c r="C29" s="71" t="s">
        <v>43</v>
      </c>
      <c r="D29" s="71" t="s">
        <v>138</v>
      </c>
      <c r="E29" s="71" t="s">
        <v>138</v>
      </c>
      <c r="F29" s="73"/>
    </row>
    <row r="30" spans="1:6" x14ac:dyDescent="0.2">
      <c r="A30" s="73"/>
      <c r="B30" s="71" t="s">
        <v>91</v>
      </c>
      <c r="C30" s="71" t="s">
        <v>44</v>
      </c>
      <c r="D30" s="71" t="s">
        <v>139</v>
      </c>
      <c r="E30" s="71" t="s">
        <v>140</v>
      </c>
      <c r="F30" s="73"/>
    </row>
    <row r="31" spans="1:6" x14ac:dyDescent="0.2">
      <c r="A31" s="73"/>
      <c r="B31" s="71" t="s">
        <v>92</v>
      </c>
      <c r="C31" s="71" t="s">
        <v>45</v>
      </c>
      <c r="D31" s="71" t="s">
        <v>141</v>
      </c>
      <c r="E31" s="71" t="s">
        <v>142</v>
      </c>
      <c r="F31" s="73"/>
    </row>
    <row r="32" spans="1:6" x14ac:dyDescent="0.2">
      <c r="A32" s="73"/>
      <c r="B32" s="71" t="s">
        <v>93</v>
      </c>
      <c r="C32" s="71" t="s">
        <v>20</v>
      </c>
      <c r="D32" s="71" t="s">
        <v>143</v>
      </c>
      <c r="E32" s="71" t="s">
        <v>144</v>
      </c>
      <c r="F32" s="73"/>
    </row>
    <row r="33" spans="1:6" x14ac:dyDescent="0.2">
      <c r="A33" s="73"/>
      <c r="B33" s="71" t="s">
        <v>94</v>
      </c>
      <c r="C33" s="71" t="s">
        <v>50</v>
      </c>
      <c r="D33" s="71" t="s">
        <v>145</v>
      </c>
      <c r="E33" s="71" t="s">
        <v>146</v>
      </c>
      <c r="F33" s="73"/>
    </row>
    <row r="34" spans="1:6" x14ac:dyDescent="0.2">
      <c r="A34" s="73"/>
      <c r="B34" s="71" t="s">
        <v>95</v>
      </c>
      <c r="C34" s="71" t="s">
        <v>24</v>
      </c>
      <c r="D34" s="71" t="s">
        <v>147</v>
      </c>
      <c r="E34" s="71" t="s">
        <v>147</v>
      </c>
      <c r="F34" s="73"/>
    </row>
    <row r="35" spans="1:6" x14ac:dyDescent="0.2">
      <c r="A35" s="73"/>
      <c r="B35" s="71" t="s">
        <v>96</v>
      </c>
      <c r="C35" s="71" t="s">
        <v>25</v>
      </c>
      <c r="D35" s="71" t="s">
        <v>148</v>
      </c>
      <c r="E35" s="71" t="s">
        <v>149</v>
      </c>
      <c r="F35" s="73"/>
    </row>
    <row r="36" spans="1:6" x14ac:dyDescent="0.2">
      <c r="A36" s="73"/>
      <c r="B36" s="71" t="s">
        <v>97</v>
      </c>
      <c r="C36" s="71" t="s">
        <v>47</v>
      </c>
      <c r="D36" s="71" t="s">
        <v>150</v>
      </c>
      <c r="E36" s="71" t="s">
        <v>151</v>
      </c>
      <c r="F36" s="73"/>
    </row>
    <row r="37" spans="1:6" x14ac:dyDescent="0.2">
      <c r="A37" s="73"/>
      <c r="B37" s="71" t="s">
        <v>98</v>
      </c>
      <c r="C37" s="71" t="s">
        <v>264</v>
      </c>
      <c r="D37" s="71" t="s">
        <v>152</v>
      </c>
      <c r="E37" s="71" t="s">
        <v>153</v>
      </c>
      <c r="F37" s="73"/>
    </row>
    <row r="38" spans="1:6" x14ac:dyDescent="0.2">
      <c r="A38" s="73"/>
      <c r="B38" s="71" t="s">
        <v>99</v>
      </c>
      <c r="C38" s="71" t="s">
        <v>10</v>
      </c>
      <c r="D38" s="71" t="s">
        <v>154</v>
      </c>
      <c r="E38" s="71" t="s">
        <v>155</v>
      </c>
      <c r="F38" s="73"/>
    </row>
    <row r="39" spans="1:6" x14ac:dyDescent="0.2">
      <c r="A39" s="73"/>
      <c r="B39" s="71" t="s">
        <v>100</v>
      </c>
      <c r="C39" s="71" t="s">
        <v>27</v>
      </c>
      <c r="D39" s="71" t="s">
        <v>156</v>
      </c>
      <c r="E39" s="71" t="s">
        <v>156</v>
      </c>
      <c r="F39" s="73"/>
    </row>
    <row r="40" spans="1:6" x14ac:dyDescent="0.2">
      <c r="A40" s="73"/>
      <c r="B40" s="71" t="s">
        <v>101</v>
      </c>
      <c r="C40" s="71" t="s">
        <v>7</v>
      </c>
      <c r="D40" s="71" t="s">
        <v>7</v>
      </c>
      <c r="E40" s="71" t="s">
        <v>7</v>
      </c>
      <c r="F40" s="73"/>
    </row>
    <row r="41" spans="1:6" x14ac:dyDescent="0.2">
      <c r="A41" s="73"/>
      <c r="B41" s="71" t="s">
        <v>102</v>
      </c>
      <c r="C41" s="71" t="s">
        <v>29</v>
      </c>
      <c r="D41" s="71" t="s">
        <v>29</v>
      </c>
      <c r="E41" s="71" t="s">
        <v>29</v>
      </c>
      <c r="F41" s="73"/>
    </row>
    <row r="42" spans="1:6" x14ac:dyDescent="0.2">
      <c r="A42" s="73"/>
      <c r="B42" s="71" t="s">
        <v>157</v>
      </c>
      <c r="C42" s="71" t="s">
        <v>12</v>
      </c>
      <c r="D42" s="71" t="s">
        <v>158</v>
      </c>
      <c r="E42" s="71" t="s">
        <v>158</v>
      </c>
      <c r="F42" s="73"/>
    </row>
    <row r="43" spans="1:6" x14ac:dyDescent="0.2">
      <c r="A43" s="73"/>
      <c r="B43" s="71" t="s">
        <v>159</v>
      </c>
      <c r="C43" s="71" t="s">
        <v>2</v>
      </c>
      <c r="D43" s="71" t="s">
        <v>2</v>
      </c>
      <c r="E43" s="71" t="s">
        <v>2</v>
      </c>
      <c r="F43" s="73"/>
    </row>
    <row r="44" spans="1:6" x14ac:dyDescent="0.2">
      <c r="A44" s="73"/>
      <c r="B44" s="71" t="s">
        <v>160</v>
      </c>
      <c r="C44" s="71" t="s">
        <v>0</v>
      </c>
      <c r="D44" s="71" t="s">
        <v>0</v>
      </c>
      <c r="E44" s="71" t="s">
        <v>0</v>
      </c>
      <c r="F44" s="73"/>
    </row>
    <row r="45" spans="1:6" x14ac:dyDescent="0.2">
      <c r="A45" s="73"/>
      <c r="B45" s="71" t="s">
        <v>161</v>
      </c>
      <c r="C45" s="71" t="s">
        <v>8</v>
      </c>
      <c r="D45" s="71" t="s">
        <v>8</v>
      </c>
      <c r="E45" s="71" t="s">
        <v>8</v>
      </c>
      <c r="F45" s="73"/>
    </row>
    <row r="46" spans="1:6" x14ac:dyDescent="0.2">
      <c r="A46" s="73"/>
      <c r="B46" s="71" t="s">
        <v>162</v>
      </c>
      <c r="C46" s="71" t="s">
        <v>31</v>
      </c>
      <c r="D46" s="71" t="s">
        <v>31</v>
      </c>
      <c r="E46" s="71" t="s">
        <v>31</v>
      </c>
      <c r="F46" s="73"/>
    </row>
    <row r="47" spans="1:6" x14ac:dyDescent="0.2">
      <c r="A47" s="73"/>
      <c r="B47" s="71" t="s">
        <v>163</v>
      </c>
      <c r="C47" s="71" t="s">
        <v>30</v>
      </c>
      <c r="D47" s="71" t="s">
        <v>30</v>
      </c>
      <c r="E47" s="71" t="s">
        <v>30</v>
      </c>
      <c r="F47" s="73"/>
    </row>
    <row r="48" spans="1:6" x14ac:dyDescent="0.2">
      <c r="A48" s="73"/>
      <c r="B48" s="71" t="s">
        <v>164</v>
      </c>
      <c r="C48" s="71" t="s">
        <v>1</v>
      </c>
      <c r="D48" s="71" t="s">
        <v>1</v>
      </c>
      <c r="E48" s="71" t="s">
        <v>1</v>
      </c>
      <c r="F48" s="73"/>
    </row>
    <row r="49" spans="1:6" x14ac:dyDescent="0.2">
      <c r="A49" s="73"/>
      <c r="B49" s="71" t="s">
        <v>165</v>
      </c>
      <c r="C49" s="71" t="s">
        <v>3</v>
      </c>
      <c r="D49" s="71" t="s">
        <v>3</v>
      </c>
      <c r="E49" s="71" t="s">
        <v>3</v>
      </c>
      <c r="F49" s="73"/>
    </row>
    <row r="50" spans="1:6" x14ac:dyDescent="0.2">
      <c r="A50" s="73"/>
      <c r="B50" s="71" t="s">
        <v>166</v>
      </c>
      <c r="C50" s="71" t="s">
        <v>4</v>
      </c>
      <c r="D50" s="71" t="s">
        <v>4</v>
      </c>
      <c r="E50" s="71" t="s">
        <v>4</v>
      </c>
      <c r="F50" s="73"/>
    </row>
    <row r="51" spans="1:6" x14ac:dyDescent="0.2">
      <c r="A51" s="73"/>
      <c r="B51" s="71" t="s">
        <v>167</v>
      </c>
      <c r="C51" s="71" t="s">
        <v>11</v>
      </c>
      <c r="D51" s="71" t="s">
        <v>11</v>
      </c>
      <c r="E51" s="71" t="s">
        <v>11</v>
      </c>
      <c r="F51" s="73"/>
    </row>
    <row r="52" spans="1:6" x14ac:dyDescent="0.2">
      <c r="A52" s="73"/>
      <c r="B52" s="71" t="s">
        <v>168</v>
      </c>
      <c r="C52" s="71" t="s">
        <v>169</v>
      </c>
      <c r="D52" s="71" t="s">
        <v>52</v>
      </c>
      <c r="E52" s="71" t="s">
        <v>52</v>
      </c>
      <c r="F52" s="73"/>
    </row>
    <row r="53" spans="1:6" x14ac:dyDescent="0.2">
      <c r="A53" s="73"/>
      <c r="B53" s="71" t="s">
        <v>170</v>
      </c>
      <c r="C53" s="71" t="s">
        <v>28</v>
      </c>
      <c r="D53" s="71" t="s">
        <v>28</v>
      </c>
      <c r="E53" s="71" t="s">
        <v>28</v>
      </c>
      <c r="F53" s="73"/>
    </row>
    <row r="54" spans="1:6" x14ac:dyDescent="0.2">
      <c r="A54" s="73"/>
      <c r="B54" s="71" t="s">
        <v>171</v>
      </c>
      <c r="C54" s="71" t="s">
        <v>5</v>
      </c>
      <c r="D54" s="71" t="s">
        <v>5</v>
      </c>
      <c r="E54" s="71" t="s">
        <v>5</v>
      </c>
      <c r="F54" s="73"/>
    </row>
    <row r="55" spans="1:6" x14ac:dyDescent="0.2">
      <c r="A55" s="73"/>
      <c r="B55" s="71" t="s">
        <v>172</v>
      </c>
      <c r="C55" s="71" t="s">
        <v>9</v>
      </c>
      <c r="D55" s="71" t="s">
        <v>9</v>
      </c>
      <c r="E55" s="71" t="s">
        <v>9</v>
      </c>
      <c r="F55" s="73"/>
    </row>
    <row r="56" spans="1:6" x14ac:dyDescent="0.2">
      <c r="A56" s="73"/>
      <c r="B56" s="71" t="s">
        <v>173</v>
      </c>
      <c r="C56" s="71" t="s">
        <v>6</v>
      </c>
      <c r="D56" s="71" t="s">
        <v>6</v>
      </c>
      <c r="E56" s="71" t="s">
        <v>6</v>
      </c>
      <c r="F56" s="73"/>
    </row>
    <row r="57" spans="1:6" x14ac:dyDescent="0.2">
      <c r="A57" s="73"/>
      <c r="B57" s="71" t="s">
        <v>174</v>
      </c>
      <c r="C57" s="71" t="s">
        <v>10</v>
      </c>
      <c r="D57" s="71" t="s">
        <v>154</v>
      </c>
      <c r="E57" s="71" t="s">
        <v>155</v>
      </c>
      <c r="F57" s="73"/>
    </row>
    <row r="58" spans="1:6" x14ac:dyDescent="0.2">
      <c r="A58" s="73"/>
      <c r="B58" s="71" t="s">
        <v>175</v>
      </c>
      <c r="C58" s="71" t="s">
        <v>107</v>
      </c>
      <c r="D58" s="71" t="s">
        <v>176</v>
      </c>
      <c r="E58" s="71" t="s">
        <v>177</v>
      </c>
      <c r="F58" s="73"/>
    </row>
    <row r="59" spans="1:6" x14ac:dyDescent="0.2">
      <c r="A59" s="73"/>
      <c r="B59" s="71" t="s">
        <v>178</v>
      </c>
      <c r="C59" s="71" t="s">
        <v>38</v>
      </c>
      <c r="D59" s="71" t="s">
        <v>179</v>
      </c>
      <c r="E59" s="71" t="s">
        <v>180</v>
      </c>
      <c r="F59" s="73"/>
    </row>
    <row r="60" spans="1:6" x14ac:dyDescent="0.2">
      <c r="A60" s="73"/>
      <c r="B60" s="71" t="s">
        <v>181</v>
      </c>
      <c r="C60" s="71" t="s">
        <v>39</v>
      </c>
      <c r="D60" s="71" t="s">
        <v>182</v>
      </c>
      <c r="E60" s="71" t="s">
        <v>183</v>
      </c>
      <c r="F60" s="73"/>
    </row>
    <row r="61" spans="1:6" x14ac:dyDescent="0.2">
      <c r="A61" s="73"/>
      <c r="B61" s="71" t="s">
        <v>184</v>
      </c>
      <c r="C61" s="71" t="s">
        <v>41</v>
      </c>
      <c r="D61" s="71" t="s">
        <v>185</v>
      </c>
      <c r="E61" s="71" t="s">
        <v>186</v>
      </c>
      <c r="F61" s="73"/>
    </row>
    <row r="62" spans="1:6" x14ac:dyDescent="0.2">
      <c r="A62" s="73"/>
      <c r="B62" s="71" t="s">
        <v>187</v>
      </c>
      <c r="C62" s="71" t="s">
        <v>33</v>
      </c>
      <c r="D62" s="71" t="s">
        <v>188</v>
      </c>
      <c r="E62" s="71" t="s">
        <v>189</v>
      </c>
      <c r="F62" s="73"/>
    </row>
    <row r="63" spans="1:6" x14ac:dyDescent="0.2">
      <c r="A63" s="73"/>
      <c r="B63" s="71" t="s">
        <v>190</v>
      </c>
      <c r="C63" s="71" t="s">
        <v>10</v>
      </c>
      <c r="D63" s="71" t="s">
        <v>154</v>
      </c>
      <c r="E63" s="71" t="s">
        <v>155</v>
      </c>
      <c r="F63" s="73"/>
    </row>
    <row r="64" spans="1:6" x14ac:dyDescent="0.2">
      <c r="A64" s="73"/>
      <c r="B64" s="71" t="s">
        <v>191</v>
      </c>
      <c r="C64" s="71" t="s">
        <v>40</v>
      </c>
      <c r="D64" s="71" t="s">
        <v>192</v>
      </c>
      <c r="E64" s="71" t="s">
        <v>193</v>
      </c>
      <c r="F64" s="73"/>
    </row>
    <row r="65" spans="1:6" x14ac:dyDescent="0.2">
      <c r="A65" s="73"/>
      <c r="B65" s="71" t="s">
        <v>194</v>
      </c>
      <c r="C65" s="71" t="s">
        <v>37</v>
      </c>
      <c r="D65" s="71" t="s">
        <v>195</v>
      </c>
      <c r="E65" s="71" t="s">
        <v>196</v>
      </c>
      <c r="F65" s="73"/>
    </row>
    <row r="66" spans="1:6" x14ac:dyDescent="0.2">
      <c r="A66" s="73"/>
      <c r="B66" s="71" t="s">
        <v>197</v>
      </c>
      <c r="C66" s="71" t="s">
        <v>32</v>
      </c>
      <c r="D66" s="71" t="s">
        <v>198</v>
      </c>
      <c r="E66" s="71" t="s">
        <v>199</v>
      </c>
      <c r="F66" s="73"/>
    </row>
    <row r="67" spans="1:6" x14ac:dyDescent="0.2">
      <c r="A67" s="73"/>
      <c r="B67" s="71" t="s">
        <v>200</v>
      </c>
      <c r="C67" s="71" t="s">
        <v>35</v>
      </c>
      <c r="D67" s="71" t="s">
        <v>35</v>
      </c>
      <c r="E67" s="71" t="s">
        <v>201</v>
      </c>
      <c r="F67" s="73"/>
    </row>
    <row r="68" spans="1:6" x14ac:dyDescent="0.2">
      <c r="A68" s="73"/>
      <c r="B68" s="71" t="s">
        <v>202</v>
      </c>
      <c r="C68" s="71" t="s">
        <v>51</v>
      </c>
      <c r="D68" s="71" t="s">
        <v>203</v>
      </c>
      <c r="E68" s="71" t="s">
        <v>204</v>
      </c>
      <c r="F68" s="73"/>
    </row>
    <row r="69" spans="1:6" x14ac:dyDescent="0.2">
      <c r="A69" s="73"/>
      <c r="B69" s="71" t="s">
        <v>205</v>
      </c>
      <c r="C69" s="71" t="s">
        <v>34</v>
      </c>
      <c r="D69" s="71" t="s">
        <v>206</v>
      </c>
      <c r="E69" s="71" t="s">
        <v>207</v>
      </c>
      <c r="F69" s="73"/>
    </row>
    <row r="70" spans="1:6" x14ac:dyDescent="0.2">
      <c r="A70" s="73"/>
      <c r="B70" s="71" t="s">
        <v>208</v>
      </c>
      <c r="C70" s="71" t="s">
        <v>36</v>
      </c>
      <c r="D70" s="71" t="s">
        <v>209</v>
      </c>
      <c r="E70" s="71" t="s">
        <v>210</v>
      </c>
      <c r="F70" s="73"/>
    </row>
    <row r="71" spans="1:6" x14ac:dyDescent="0.2">
      <c r="A71" s="73"/>
      <c r="B71" s="71" t="s">
        <v>211</v>
      </c>
      <c r="C71" s="71" t="s">
        <v>13</v>
      </c>
      <c r="D71" s="71" t="s">
        <v>116</v>
      </c>
      <c r="E71" s="71" t="s">
        <v>117</v>
      </c>
      <c r="F71" s="73"/>
    </row>
    <row r="72" spans="1:6" x14ac:dyDescent="0.2">
      <c r="A72" s="73"/>
      <c r="B72" s="73"/>
      <c r="C72" s="73"/>
      <c r="D72" s="73"/>
      <c r="E72" s="73"/>
      <c r="F72" s="73"/>
    </row>
    <row r="73" spans="1:6" ht="25.5" x14ac:dyDescent="0.2">
      <c r="A73" s="74"/>
      <c r="B73" s="71" t="s">
        <v>103</v>
      </c>
      <c r="C73" s="71" t="s">
        <v>46</v>
      </c>
      <c r="D73" s="71" t="s">
        <v>212</v>
      </c>
      <c r="E73" s="79" t="s">
        <v>213</v>
      </c>
      <c r="F73" s="73"/>
    </row>
    <row r="74" spans="1:6" ht="25.5" x14ac:dyDescent="0.2">
      <c r="A74" s="73"/>
      <c r="B74" s="71" t="s">
        <v>104</v>
      </c>
      <c r="C74" s="71" t="s">
        <v>53</v>
      </c>
      <c r="D74" s="71" t="s">
        <v>214</v>
      </c>
      <c r="E74" s="79" t="s">
        <v>215</v>
      </c>
      <c r="F74" s="73"/>
    </row>
    <row r="75" spans="1:6" x14ac:dyDescent="0.2">
      <c r="A75" s="73"/>
      <c r="B75" s="73"/>
      <c r="C75" s="73"/>
      <c r="D75" s="73"/>
      <c r="E75" s="73"/>
      <c r="F75" s="73"/>
    </row>
    <row r="76" spans="1:6" x14ac:dyDescent="0.2">
      <c r="A76" s="73" t="s">
        <v>72</v>
      </c>
      <c r="B76" s="71" t="s">
        <v>105</v>
      </c>
      <c r="C76" s="71" t="s">
        <v>216</v>
      </c>
      <c r="D76" s="71" t="s">
        <v>228</v>
      </c>
      <c r="E76" s="71" t="s">
        <v>229</v>
      </c>
      <c r="F76" s="73"/>
    </row>
    <row r="77" spans="1:6" x14ac:dyDescent="0.2">
      <c r="A77" s="73" t="s">
        <v>71</v>
      </c>
      <c r="B77" s="76" t="s">
        <v>106</v>
      </c>
      <c r="C77" s="80" t="s">
        <v>230</v>
      </c>
      <c r="D77" s="80" t="s">
        <v>231</v>
      </c>
      <c r="E77" s="80" t="s">
        <v>232</v>
      </c>
      <c r="F77" s="73"/>
    </row>
    <row r="78" spans="1:6" s="88" customFormat="1" ht="13.5" thickBot="1" x14ac:dyDescent="0.25">
      <c r="A78" s="85"/>
      <c r="B78" s="86"/>
      <c r="C78" s="87"/>
      <c r="D78" s="87"/>
      <c r="E78" s="87"/>
      <c r="F78" s="85"/>
    </row>
    <row r="79" spans="1:6" x14ac:dyDescent="0.2">
      <c r="A79" s="73"/>
      <c r="B79" s="73"/>
      <c r="C79" s="73"/>
      <c r="D79" s="73"/>
      <c r="E79" s="73"/>
      <c r="F79" s="73"/>
    </row>
    <row r="80" spans="1:6" ht="38.25" x14ac:dyDescent="0.2">
      <c r="A80" s="74" t="s">
        <v>233</v>
      </c>
      <c r="B80" s="76" t="s">
        <v>234</v>
      </c>
      <c r="C80" s="76" t="s">
        <v>245</v>
      </c>
      <c r="D80" s="76" t="s">
        <v>249</v>
      </c>
      <c r="E80" s="76" t="s">
        <v>253</v>
      </c>
      <c r="F80" s="73"/>
    </row>
    <row r="81" spans="1:6" ht="38.25" x14ac:dyDescent="0.2">
      <c r="A81" s="74"/>
      <c r="B81" s="76" t="s">
        <v>235</v>
      </c>
      <c r="C81" s="76" t="s">
        <v>246</v>
      </c>
      <c r="D81" s="76" t="s">
        <v>248</v>
      </c>
      <c r="E81" s="76" t="s">
        <v>254</v>
      </c>
      <c r="F81" s="73"/>
    </row>
    <row r="82" spans="1:6" ht="38.25" x14ac:dyDescent="0.2">
      <c r="A82" s="74"/>
      <c r="B82" s="76" t="s">
        <v>236</v>
      </c>
      <c r="C82" s="76" t="s">
        <v>247</v>
      </c>
      <c r="D82" s="76" t="s">
        <v>250</v>
      </c>
      <c r="E82" s="76" t="s">
        <v>255</v>
      </c>
      <c r="F82" s="73"/>
    </row>
    <row r="83" spans="1:6" x14ac:dyDescent="0.2">
      <c r="A83" s="74"/>
      <c r="B83" s="74"/>
      <c r="C83" s="74"/>
      <c r="D83" s="74"/>
      <c r="E83" s="74"/>
      <c r="F83" s="73"/>
    </row>
    <row r="84" spans="1:6" x14ac:dyDescent="0.2">
      <c r="A84" s="74" t="s">
        <v>72</v>
      </c>
      <c r="B84" s="76" t="s">
        <v>237</v>
      </c>
      <c r="C84" s="76" t="s">
        <v>243</v>
      </c>
      <c r="D84" s="77" t="s">
        <v>251</v>
      </c>
      <c r="E84" s="77" t="s">
        <v>256</v>
      </c>
      <c r="F84" s="73"/>
    </row>
    <row r="85" spans="1:6" x14ac:dyDescent="0.2">
      <c r="A85" s="74"/>
      <c r="B85" s="76" t="s">
        <v>238</v>
      </c>
      <c r="C85" s="76" t="s">
        <v>244</v>
      </c>
      <c r="D85" s="77" t="s">
        <v>252</v>
      </c>
      <c r="E85" s="77" t="s">
        <v>257</v>
      </c>
      <c r="F85" s="73"/>
    </row>
    <row r="86" spans="1:6" x14ac:dyDescent="0.2">
      <c r="A86" s="74"/>
      <c r="B86" s="76" t="s">
        <v>239</v>
      </c>
      <c r="C86" s="76" t="s">
        <v>55</v>
      </c>
      <c r="D86" s="76" t="s">
        <v>111</v>
      </c>
      <c r="E86" s="76" t="s">
        <v>112</v>
      </c>
      <c r="F86" s="73"/>
    </row>
    <row r="87" spans="1:6" ht="38.25" x14ac:dyDescent="0.2">
      <c r="A87" s="74"/>
      <c r="B87" s="71" t="s">
        <v>240</v>
      </c>
      <c r="C87" s="71" t="s">
        <v>54</v>
      </c>
      <c r="D87" s="71" t="s">
        <v>114</v>
      </c>
      <c r="E87" s="78" t="s">
        <v>115</v>
      </c>
      <c r="F87" s="73"/>
    </row>
    <row r="88" spans="1:6" x14ac:dyDescent="0.2">
      <c r="A88" s="73"/>
      <c r="B88" s="73"/>
      <c r="C88" s="73"/>
      <c r="D88" s="73"/>
      <c r="E88" s="73"/>
      <c r="F88" s="73"/>
    </row>
    <row r="89" spans="1:6" x14ac:dyDescent="0.2">
      <c r="A89" s="73" t="s">
        <v>72</v>
      </c>
      <c r="B89" s="71" t="s">
        <v>241</v>
      </c>
      <c r="C89" s="71" t="s">
        <v>216</v>
      </c>
      <c r="D89" s="71" t="s">
        <v>228</v>
      </c>
      <c r="E89" s="71" t="s">
        <v>229</v>
      </c>
      <c r="F89" s="73"/>
    </row>
    <row r="90" spans="1:6" x14ac:dyDescent="0.2">
      <c r="A90" s="73" t="s">
        <v>71</v>
      </c>
      <c r="B90" s="76" t="s">
        <v>242</v>
      </c>
      <c r="C90" s="80" t="s">
        <v>230</v>
      </c>
      <c r="D90" s="80" t="s">
        <v>231</v>
      </c>
      <c r="E90" s="80" t="s">
        <v>232</v>
      </c>
      <c r="F90" s="73"/>
    </row>
    <row r="91" spans="1:6" s="88" customFormat="1" ht="13.5" thickBot="1" x14ac:dyDescent="0.25">
      <c r="A91" s="85"/>
      <c r="B91" s="86"/>
      <c r="C91" s="87"/>
      <c r="D91" s="87"/>
      <c r="E91" s="87"/>
      <c r="F91" s="85"/>
    </row>
    <row r="92" spans="1:6" x14ac:dyDescent="0.2">
      <c r="A92" s="74"/>
      <c r="B92" s="73"/>
      <c r="C92" s="73"/>
      <c r="D92" s="73"/>
      <c r="E92" s="73"/>
      <c r="F92" s="73"/>
    </row>
    <row r="93" spans="1:6" x14ac:dyDescent="0.2">
      <c r="A93" s="74"/>
      <c r="B93" s="75"/>
      <c r="C93" s="75"/>
      <c r="D93" s="73"/>
      <c r="E93" s="73"/>
      <c r="F93" s="73"/>
    </row>
  </sheetData>
  <sheetProtection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C7E3B5B685244E9F316DC5AF52F3F3" ma:contentTypeVersion="6" ma:contentTypeDescription="Ein neues Dokument erstellen." ma:contentTypeScope="" ma:versionID="5922a524ea719d7172c03bd4767f06ed">
  <xsd:schema xmlns:xsd="http://www.w3.org/2001/XMLSchema" xmlns:xs="http://www.w3.org/2001/XMLSchema" xmlns:p="http://schemas.microsoft.com/office/2006/metadata/properties" xmlns:ns1="http://schemas.microsoft.com/sharepoint/v3" xmlns:ns2="a85bdc46-611b-4a7e-936f-e8248c6e1bca" targetNamespace="http://schemas.microsoft.com/office/2006/metadata/properties" ma:root="true" ma:fieldsID="2f5bd5d7e51ad7ad358f4884b85fdf5e" ns1:_="" ns2:_="">
    <xsd:import namespace="http://schemas.microsoft.com/sharepoint/v3"/>
    <xsd:import namespace="a85bdc46-611b-4a7e-936f-e8248c6e1bc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bdc46-611b-4a7e-936f-e8248c6e1bca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a85bdc46-611b-4a7e-936f-e8248c6e1bca">1004</Benutzerdefinierte_x0020_ID>
    <Kategorie xmlns="a85bdc46-611b-4a7e-936f-e8248c6e1bca">Beherbergungsstatistik</Kategorie>
    <Titel_DE xmlns="a85bdc46-611b-4a7e-936f-e8248c6e1bca">Beherbergungsstatistik Graubünden, Winter und Sommersaison 2022/23</Titel_DE>
    <PublishingExpirationDate xmlns="http://schemas.microsoft.com/sharepoint/v3" xsi:nil="true"/>
    <PublishingStartDate xmlns="http://schemas.microsoft.com/sharepoint/v3" xsi:nil="true"/>
    <Titel_IT xmlns="a85bdc46-611b-4a7e-936f-e8248c6e1bca">Statistica della ricettività turistica nei Grigioni, stagione invernale e estiva 2022/23</Titel_IT>
    <Titel_RM xmlns="a85bdc46-611b-4a7e-936f-e8248c6e1bca">Statistica dals alloschaments dal Grischun, stagiun d'enviern e da stad 2022/23</Titel_RM>
  </documentManagement>
</p:properties>
</file>

<file path=customXml/itemProps1.xml><?xml version="1.0" encoding="utf-8"?>
<ds:datastoreItem xmlns:ds="http://schemas.openxmlformats.org/officeDocument/2006/customXml" ds:itemID="{BF887A3D-2985-4F10-9F60-57E3061AD76C}"/>
</file>

<file path=customXml/itemProps2.xml><?xml version="1.0" encoding="utf-8"?>
<ds:datastoreItem xmlns:ds="http://schemas.openxmlformats.org/officeDocument/2006/customXml" ds:itemID="{20A63C0C-0CEE-48F0-B3CB-B813AD5BA30B}"/>
</file>

<file path=customXml/itemProps3.xml><?xml version="1.0" encoding="utf-8"?>
<ds:datastoreItem xmlns:ds="http://schemas.openxmlformats.org/officeDocument/2006/customXml" ds:itemID="{24E67FD2-F0DA-4852-A70F-D9D44A2055D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SS 2023</vt:lpstr>
      <vt:lpstr>WS 2022_23</vt:lpstr>
      <vt:lpstr>Uebersetzungen</vt:lpstr>
      <vt:lpstr>'SS 2023'!Druckbereich</vt:lpstr>
      <vt:lpstr>'WS 2022_23'!Druckbereich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Beherbergungsstatistik Graubünden Winter- und Sommersaison</dc:title>
  <dc:creator>Luzius Stricker</dc:creator>
  <cp:lastModifiedBy>Stricker Luzius</cp:lastModifiedBy>
  <cp:lastPrinted>2023-12-04T09:43:00Z</cp:lastPrinted>
  <dcterms:created xsi:type="dcterms:W3CDTF">2012-02-14T12:10:20Z</dcterms:created>
  <dcterms:modified xsi:type="dcterms:W3CDTF">2024-07-16T05:58:58Z</dcterms:modified>
  <cp:category>Beherbergungsstatistik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0x01010061C7E3B5B685244E9F316DC5AF52F3F3</vt:lpwstr>
  </property>
</Properties>
</file>