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 - Statistik\1.Daten\10 TOURISMUS\PASTA\2023\"/>
    </mc:Choice>
  </mc:AlternateContent>
  <workbookProtection lockStructure="1"/>
  <bookViews>
    <workbookView xWindow="-15" yWindow="7320" windowWidth="28830" windowHeight="7365"/>
  </bookViews>
  <sheets>
    <sheet name="Ferienwohnungen" sheetId="3" r:id="rId1"/>
    <sheet name="Kollektivunterkünfte" sheetId="5" r:id="rId2"/>
    <sheet name="Uebersetzungen" sheetId="6" state="hidden" r:id="rId3"/>
  </sheets>
  <calcPr calcId="162913"/>
</workbook>
</file>

<file path=xl/calcChain.xml><?xml version="1.0" encoding="utf-8"?>
<calcChain xmlns="http://schemas.openxmlformats.org/spreadsheetml/2006/main">
  <c r="C77" i="6" l="1"/>
  <c r="C13" i="6"/>
  <c r="D13" i="6"/>
  <c r="D75" i="6"/>
  <c r="C81" i="6" l="1"/>
  <c r="D81" i="6"/>
  <c r="A60" i="5" l="1"/>
  <c r="A59" i="5"/>
  <c r="A63" i="5"/>
  <c r="A62" i="5"/>
  <c r="B38" i="5"/>
  <c r="B28" i="5"/>
  <c r="B14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N32" i="5"/>
  <c r="N31" i="5"/>
  <c r="N30" i="5"/>
  <c r="N29" i="5"/>
  <c r="E32" i="5"/>
  <c r="E31" i="5"/>
  <c r="E30" i="5"/>
  <c r="E29" i="5"/>
  <c r="A32" i="5"/>
  <c r="A31" i="5"/>
  <c r="A30" i="5"/>
  <c r="A29" i="5"/>
  <c r="N32" i="3"/>
  <c r="N31" i="3"/>
  <c r="N30" i="3"/>
  <c r="N29" i="3"/>
  <c r="E32" i="3"/>
  <c r="E31" i="3"/>
  <c r="E30" i="3"/>
  <c r="E29" i="3"/>
  <c r="N22" i="3"/>
  <c r="N21" i="3"/>
  <c r="N20" i="3"/>
  <c r="N19" i="3"/>
  <c r="N18" i="3"/>
  <c r="N17" i="3"/>
  <c r="N16" i="3"/>
  <c r="N15" i="3"/>
  <c r="E22" i="3"/>
  <c r="E21" i="3"/>
  <c r="E20" i="3"/>
  <c r="E19" i="3"/>
  <c r="E18" i="3"/>
  <c r="E17" i="3"/>
  <c r="E16" i="3"/>
  <c r="E15" i="3"/>
  <c r="N22" i="5"/>
  <c r="N21" i="5"/>
  <c r="N20" i="5"/>
  <c r="N19" i="5"/>
  <c r="N18" i="5"/>
  <c r="N17" i="5"/>
  <c r="N16" i="5"/>
  <c r="N15" i="5"/>
  <c r="E22" i="5"/>
  <c r="E21" i="5"/>
  <c r="E20" i="5"/>
  <c r="E19" i="5"/>
  <c r="E18" i="5"/>
  <c r="E17" i="5"/>
  <c r="E16" i="5"/>
  <c r="E15" i="5"/>
  <c r="A22" i="5"/>
  <c r="A21" i="5"/>
  <c r="A20" i="5"/>
  <c r="A19" i="5"/>
  <c r="A18" i="5"/>
  <c r="A17" i="5"/>
  <c r="A16" i="5"/>
  <c r="A15" i="5"/>
  <c r="C38" i="5"/>
  <c r="T28" i="5"/>
  <c r="S28" i="5"/>
  <c r="R28" i="5"/>
  <c r="Q28" i="5"/>
  <c r="P28" i="5"/>
  <c r="O28" i="5"/>
  <c r="N28" i="5"/>
  <c r="K28" i="5"/>
  <c r="J28" i="5"/>
  <c r="I28" i="5"/>
  <c r="H28" i="5"/>
  <c r="G28" i="5"/>
  <c r="F28" i="5"/>
  <c r="E28" i="5"/>
  <c r="C28" i="5"/>
  <c r="A28" i="5"/>
  <c r="T14" i="5"/>
  <c r="S14" i="5"/>
  <c r="R14" i="5"/>
  <c r="Q14" i="5"/>
  <c r="P14" i="5"/>
  <c r="O14" i="5"/>
  <c r="N14" i="5"/>
  <c r="K14" i="5"/>
  <c r="J14" i="5"/>
  <c r="I14" i="5"/>
  <c r="H14" i="5"/>
  <c r="G14" i="5"/>
  <c r="F14" i="5"/>
  <c r="E14" i="5"/>
  <c r="C14" i="5"/>
  <c r="A14" i="5"/>
  <c r="B37" i="5"/>
  <c r="R27" i="5"/>
  <c r="O27" i="5"/>
  <c r="I27" i="5"/>
  <c r="F27" i="5"/>
  <c r="B27" i="5"/>
  <c r="R13" i="5"/>
  <c r="O13" i="5"/>
  <c r="I13" i="5"/>
  <c r="F13" i="5"/>
  <c r="B13" i="5"/>
  <c r="A35" i="5"/>
  <c r="N11" i="5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2" i="3"/>
  <c r="A31" i="3"/>
  <c r="A30" i="3"/>
  <c r="A29" i="3"/>
  <c r="A22" i="3"/>
  <c r="A21" i="3"/>
  <c r="A20" i="3"/>
  <c r="A19" i="3"/>
  <c r="A18" i="3"/>
  <c r="A17" i="3"/>
  <c r="A16" i="3"/>
  <c r="A15" i="3"/>
  <c r="N28" i="3"/>
  <c r="E28" i="3"/>
  <c r="A28" i="3"/>
  <c r="A38" i="3"/>
  <c r="T28" i="3"/>
  <c r="S28" i="3"/>
  <c r="R28" i="3"/>
  <c r="Q28" i="3"/>
  <c r="P28" i="3"/>
  <c r="O28" i="3"/>
  <c r="K28" i="3"/>
  <c r="J28" i="3"/>
  <c r="I28" i="3"/>
  <c r="H28" i="3"/>
  <c r="G28" i="3"/>
  <c r="F28" i="3"/>
  <c r="C38" i="3"/>
  <c r="C28" i="3"/>
  <c r="C14" i="3"/>
  <c r="B38" i="3"/>
  <c r="B28" i="3"/>
  <c r="T14" i="3"/>
  <c r="S14" i="3"/>
  <c r="R14" i="3"/>
  <c r="Q14" i="3"/>
  <c r="P14" i="3"/>
  <c r="O14" i="3"/>
  <c r="N14" i="3"/>
  <c r="K14" i="3"/>
  <c r="J14" i="3"/>
  <c r="I14" i="3"/>
  <c r="H14" i="3"/>
  <c r="G14" i="3"/>
  <c r="F14" i="3"/>
  <c r="E14" i="3"/>
  <c r="B14" i="3"/>
  <c r="A14" i="3"/>
  <c r="B13" i="3"/>
  <c r="B37" i="3"/>
  <c r="R27" i="3"/>
  <c r="O27" i="3"/>
  <c r="I27" i="3"/>
  <c r="F27" i="3"/>
  <c r="B27" i="3"/>
  <c r="R13" i="3"/>
  <c r="O13" i="3"/>
  <c r="I13" i="3"/>
  <c r="F13" i="3"/>
  <c r="A63" i="3"/>
  <c r="A62" i="3"/>
  <c r="A60" i="3"/>
  <c r="A59" i="3"/>
  <c r="A35" i="3"/>
  <c r="A7" i="5"/>
  <c r="A7" i="3"/>
  <c r="E74" i="6" l="1"/>
  <c r="D74" i="6"/>
  <c r="C74" i="6"/>
  <c r="A9" i="5" s="1"/>
  <c r="E81" i="6"/>
  <c r="E80" i="6"/>
  <c r="D80" i="6"/>
  <c r="C80" i="6"/>
  <c r="N25" i="5" s="1"/>
  <c r="E79" i="6"/>
  <c r="D79" i="6"/>
  <c r="C79" i="6"/>
  <c r="E25" i="5" s="1"/>
  <c r="E78" i="6"/>
  <c r="D78" i="6"/>
  <c r="C78" i="6"/>
  <c r="A25" i="5" s="1"/>
  <c r="E77" i="6"/>
  <c r="D77" i="6"/>
  <c r="E76" i="6"/>
  <c r="D76" i="6"/>
  <c r="C76" i="6"/>
  <c r="E11" i="5" s="1"/>
  <c r="E75" i="6"/>
  <c r="C75" i="6"/>
  <c r="A11" i="5" s="1"/>
  <c r="E13" i="6"/>
  <c r="E12" i="6"/>
  <c r="E11" i="6"/>
  <c r="E10" i="6"/>
  <c r="E9" i="6"/>
  <c r="E8" i="6"/>
  <c r="E7" i="6"/>
  <c r="E6" i="6"/>
  <c r="D12" i="6"/>
  <c r="D11" i="6"/>
  <c r="D10" i="6"/>
  <c r="D9" i="6"/>
  <c r="D8" i="6"/>
  <c r="D7" i="6"/>
  <c r="D6" i="6"/>
  <c r="C12" i="6"/>
  <c r="N25" i="3" s="1"/>
  <c r="C11" i="6"/>
  <c r="E25" i="3" s="1"/>
  <c r="C10" i="6"/>
  <c r="A25" i="3" s="1"/>
  <c r="C9" i="6"/>
  <c r="N11" i="3" s="1"/>
  <c r="C8" i="6"/>
  <c r="E11" i="3" s="1"/>
  <c r="C7" i="6"/>
  <c r="A11" i="3" s="1"/>
  <c r="C6" i="6"/>
  <c r="A9" i="3" s="1"/>
</calcChain>
</file>

<file path=xl/sharedStrings.xml><?xml version="1.0" encoding="utf-8"?>
<sst xmlns="http://schemas.openxmlformats.org/spreadsheetml/2006/main" count="263" uniqueCount="194">
  <si>
    <t>Logiernächte</t>
  </si>
  <si>
    <t>Schweiz</t>
  </si>
  <si>
    <t>Graubünden</t>
  </si>
  <si>
    <t>Vorhandene Betten</t>
  </si>
  <si>
    <t>Erfasste Betriebe</t>
  </si>
  <si>
    <t>Angebot</t>
  </si>
  <si>
    <t>Grossregion</t>
  </si>
  <si>
    <t>Total</t>
  </si>
  <si>
    <t>Genferseeregion</t>
  </si>
  <si>
    <t>Espace Mittelland</t>
  </si>
  <si>
    <t>Nordwestschweiz</t>
  </si>
  <si>
    <t>Zürich</t>
  </si>
  <si>
    <t>Ostschweiz</t>
  </si>
  <si>
    <t>Zentralschweiz</t>
  </si>
  <si>
    <t>Tessin</t>
  </si>
  <si>
    <t>Arosa</t>
  </si>
  <si>
    <t>Bergün Filisur</t>
  </si>
  <si>
    <t>Chur</t>
  </si>
  <si>
    <t>Davos Klosters</t>
  </si>
  <si>
    <t>Disentis Sedrun</t>
  </si>
  <si>
    <t>Flims Laax</t>
  </si>
  <si>
    <t>Lenzerheide</t>
  </si>
  <si>
    <t>Prättigau</t>
  </si>
  <si>
    <t>Surselva</t>
  </si>
  <si>
    <t>Valposchiavo</t>
  </si>
  <si>
    <t>Vals</t>
  </si>
  <si>
    <t>Viamala</t>
  </si>
  <si>
    <t>*    inkl. Maloja</t>
  </si>
  <si>
    <t>(keine Unterteilung von Gemeinden)</t>
  </si>
  <si>
    <t>Inländer/innen</t>
  </si>
  <si>
    <t>Ausländer/innen</t>
  </si>
  <si>
    <t>Ankünfte</t>
  </si>
  <si>
    <t>**  exkl. Maloja</t>
  </si>
  <si>
    <t>Destinationen</t>
  </si>
  <si>
    <t>Bündner Herrschaft</t>
  </si>
  <si>
    <t>Kanton</t>
  </si>
  <si>
    <t>Bern</t>
  </si>
  <si>
    <t>Wallis</t>
  </si>
  <si>
    <t>Engadin Scuol Samnaun</t>
  </si>
  <si>
    <t>San Bernardino, Mesolcina / Calanca</t>
  </si>
  <si>
    <t>Val Surses (inkl. Gde Albula/Alvra)</t>
  </si>
  <si>
    <t>Tabelle</t>
  </si>
  <si>
    <t>Code</t>
  </si>
  <si>
    <t>DE</t>
  </si>
  <si>
    <t>RM</t>
  </si>
  <si>
    <t>IT</t>
  </si>
  <si>
    <t>Sprache</t>
  </si>
  <si>
    <t>&lt;Fachbereich&gt;</t>
  </si>
  <si>
    <t>Daten &amp; Statistik</t>
  </si>
  <si>
    <t>Datas &amp; Statistica</t>
  </si>
  <si>
    <t>Dati &amp; Statistica</t>
  </si>
  <si>
    <t>T1</t>
  </si>
  <si>
    <t>&lt;Titel&gt;</t>
  </si>
  <si>
    <t>T1-2</t>
  </si>
  <si>
    <t>&lt;SpaltenTitel_1&gt;</t>
  </si>
  <si>
    <t>Totale</t>
  </si>
  <si>
    <t>&lt;SpaltenTitel_2&gt;</t>
  </si>
  <si>
    <t>&lt;SpaltenTitel_3&gt;</t>
  </si>
  <si>
    <t>&lt;SpaltenTitel_1.1&gt;</t>
  </si>
  <si>
    <t>&lt;SpaltenTitel_1.2&gt;</t>
  </si>
  <si>
    <t>&lt;SpaltenTitel_2.1&gt;</t>
  </si>
  <si>
    <t>&lt;SpaltenTitel_2.2&gt;</t>
  </si>
  <si>
    <t>&lt;Zeilentitel_1&gt;</t>
  </si>
  <si>
    <t>&lt;Zeilentitel_2&gt;</t>
  </si>
  <si>
    <t>Turitg</t>
  </si>
  <si>
    <t>Zurigo</t>
  </si>
  <si>
    <t>&lt;Zeilentitel_3&gt;</t>
  </si>
  <si>
    <t>Berna</t>
  </si>
  <si>
    <t>&lt;Zeilentitel_4&gt;</t>
  </si>
  <si>
    <t>&lt;Zeilentitel_5&gt;</t>
  </si>
  <si>
    <t>&lt;Zeilentitel_6&gt;</t>
  </si>
  <si>
    <t>&lt;Zeilentitel_7&gt;</t>
  </si>
  <si>
    <t>&lt;Zeilentitel_8&gt;</t>
  </si>
  <si>
    <t>&lt;Zeilentitel_9&gt;</t>
  </si>
  <si>
    <t>&lt;Zeilentitel_10&gt;</t>
  </si>
  <si>
    <t>&lt;Zeilentitel_11&gt;</t>
  </si>
  <si>
    <t>&lt;Zeilentitel_12&gt;</t>
  </si>
  <si>
    <t>&lt;Zeilentitel_13&gt;</t>
  </si>
  <si>
    <t>&lt;Zeilentitel_14&gt;</t>
  </si>
  <si>
    <t>&lt;Zeilentitel_15&gt;</t>
  </si>
  <si>
    <t>&lt;Zeilentitel_16&gt;</t>
  </si>
  <si>
    <t>&lt;Zeilentitel_17&gt;</t>
  </si>
  <si>
    <t>&lt;Zeilentitel_18&gt;</t>
  </si>
  <si>
    <t>&lt;Zeilentitel_19&gt;</t>
  </si>
  <si>
    <t>Grischun</t>
  </si>
  <si>
    <t>Grigioni</t>
  </si>
  <si>
    <t>&lt;Zeilentitel_20&gt;</t>
  </si>
  <si>
    <t>&lt;Zeilentitel_21&gt;</t>
  </si>
  <si>
    <t>&lt;Zeilentitel_22&gt;</t>
  </si>
  <si>
    <t>Ticino</t>
  </si>
  <si>
    <t>&lt;Zeilentitel_23&gt;</t>
  </si>
  <si>
    <t>&lt;Zeilentitel_24&gt;</t>
  </si>
  <si>
    <t>Vallais</t>
  </si>
  <si>
    <t>Vallese</t>
  </si>
  <si>
    <t>&lt;Zeilentitel_25&gt;</t>
  </si>
  <si>
    <t>&lt;Zeilentitel_26&gt;</t>
  </si>
  <si>
    <t>&lt;Zeilentitel_27&gt;</t>
  </si>
  <si>
    <t>&lt;Legende_1&gt;</t>
  </si>
  <si>
    <t>&lt;Legende_2&gt;</t>
  </si>
  <si>
    <t>&lt;Legende_3&gt;</t>
  </si>
  <si>
    <t>&lt;Legende_4&gt;</t>
  </si>
  <si>
    <t>&lt;Quelle_1&gt;</t>
  </si>
  <si>
    <t>&lt;Aktualisierung&gt;</t>
  </si>
  <si>
    <t>T2</t>
  </si>
  <si>
    <t>&lt;T2Titel&gt;</t>
  </si>
  <si>
    <t>&lt;T2Zeilentitel_1&gt;</t>
  </si>
  <si>
    <t>&lt;UTitel1&gt;</t>
  </si>
  <si>
    <t>&lt;UTitel2&gt;</t>
  </si>
  <si>
    <t>&lt;UTitel3&gt;</t>
  </si>
  <si>
    <t>&lt;UTitel4&gt;</t>
  </si>
  <si>
    <t>&lt;UTitel5&gt;</t>
  </si>
  <si>
    <t>Quelle: BFS (PASTA)</t>
  </si>
  <si>
    <t>Funtauna: UST (PASTA)</t>
  </si>
  <si>
    <t>Fonte: UST (PASTA)</t>
  </si>
  <si>
    <t>&lt;Zeilentitel_28&gt;</t>
  </si>
  <si>
    <t>&lt;Zeilentitel_29&gt;</t>
  </si>
  <si>
    <t>&lt;Zeilentitel_30&gt;</t>
  </si>
  <si>
    <t>&lt;Zeilentitel_31&gt;</t>
  </si>
  <si>
    <t>&lt;SpaltenTitel_2.3&gt;</t>
  </si>
  <si>
    <t>&lt;SpaltenTitel_2.4&gt;</t>
  </si>
  <si>
    <t>&lt;SpaltenTitel_2.5&gt;</t>
  </si>
  <si>
    <t>&lt;SpaltenTitel_2.6&gt;</t>
  </si>
  <si>
    <t>&lt;SpaltenTitel_2.7&gt;</t>
  </si>
  <si>
    <t>&lt;SpaltenTitel_2.8&gt;</t>
  </si>
  <si>
    <t>&lt;T2UTitel1&gt;</t>
  </si>
  <si>
    <t>&lt;T2UTitel2&gt;</t>
  </si>
  <si>
    <t>&lt;T2UTitel3&gt;</t>
  </si>
  <si>
    <t>&lt;T2UTitel4&gt;</t>
  </si>
  <si>
    <t>&lt;T2UTitel5&gt;</t>
  </si>
  <si>
    <t>&lt;T2Legende_1&gt;</t>
  </si>
  <si>
    <t>&lt;T2Legende_2&gt;</t>
  </si>
  <si>
    <t>&lt;T2Legende_3&gt;</t>
  </si>
  <si>
    <t>&lt;T2Legende_4&gt;</t>
  </si>
  <si>
    <t>&lt;UTitel6&gt;</t>
  </si>
  <si>
    <t>&lt;UTitel7&gt;</t>
  </si>
  <si>
    <t>&lt;T2UTitel6&gt;</t>
  </si>
  <si>
    <t>&lt;T2UTitel7&gt;</t>
  </si>
  <si>
    <t>(1) Unter kommerziell bewirtschafteten Ferienwohnungen sind Wohnungen zu verstehen, die über eine Vertriebsorganisation (z.B. Tourismusorganisation, Buchungsplattform, etc.) zur touristischen Nutzung (kurzzeitige Beherbergung) angeboten werden.</t>
  </si>
  <si>
    <t>(1) Als Kollektivunterkünfte gelten einerseits Betriebe, die Schlafplätze (Betten) in Kollektivzimmern vermieten. Ebenfalls als Kollektivunterkünfte gelten Räumlichkeiten, die als Ganzes vermietet werden und auf die Beherbergung von Gruppen ausgerichtet sind.</t>
  </si>
  <si>
    <t xml:space="preserve">Arosa </t>
  </si>
  <si>
    <t>Bündner Herschaft</t>
  </si>
  <si>
    <t>Scuol Samnaun Val Müstair</t>
  </si>
  <si>
    <t>San Bernardino, Mesolcina/Calanca</t>
  </si>
  <si>
    <t>Svizra</t>
  </si>
  <si>
    <t>Svizzera</t>
  </si>
  <si>
    <t>Purschida</t>
  </si>
  <si>
    <t>Arrivadas</t>
  </si>
  <si>
    <t>Pernottaziuns</t>
  </si>
  <si>
    <t>Offerta</t>
  </si>
  <si>
    <t>Arrivi</t>
  </si>
  <si>
    <t>Pernottamenti</t>
  </si>
  <si>
    <t>Aziende registrate</t>
  </si>
  <si>
    <t>Manaschis registrads</t>
  </si>
  <si>
    <t>Erfasste Ferienwohnungen</t>
  </si>
  <si>
    <t>Abitaziuns da vacanzas registradas</t>
  </si>
  <si>
    <t>Destinaziuns</t>
  </si>
  <si>
    <t>Regiun gronda</t>
  </si>
  <si>
    <t>Letgs existents</t>
  </si>
  <si>
    <t>Indigen/a</t>
  </si>
  <si>
    <t>Ester/a</t>
  </si>
  <si>
    <t>Chantun</t>
  </si>
  <si>
    <t>Grande regione</t>
  </si>
  <si>
    <t>Letti esistenti</t>
  </si>
  <si>
    <t>Stranieri</t>
  </si>
  <si>
    <t>Cantone</t>
  </si>
  <si>
    <t>Destinazioni</t>
  </si>
  <si>
    <t>Abitazioni di vacanza registrati</t>
  </si>
  <si>
    <t>Indigeni</t>
  </si>
  <si>
    <t>Regione del Lago di Ginevra</t>
  </si>
  <si>
    <t>Svizzera nordoccidentale</t>
  </si>
  <si>
    <t>Svizzera orientale</t>
  </si>
  <si>
    <t>Svizzera centrale</t>
  </si>
  <si>
    <t>Svizra dal Nordvest</t>
  </si>
  <si>
    <t>Svizra Orientala</t>
  </si>
  <si>
    <t>Svizra Centrala</t>
  </si>
  <si>
    <t>Regiun dal Lai da Genevra</t>
  </si>
  <si>
    <t>** escluso Maloja</t>
  </si>
  <si>
    <t>(nessuna suddivisione di comuni)</t>
  </si>
  <si>
    <t>*  compreso Maloja</t>
  </si>
  <si>
    <t>(nagina sutdivisiun da las vischnancas)</t>
  </si>
  <si>
    <t>** excl. Malögia</t>
  </si>
  <si>
    <t>*   incl. Malögia</t>
  </si>
  <si>
    <t>(1) Tranter abitaziuns da vacanzas administradas commerzialmain èn da chapir abitaziuns che vegnan offridas tras in'organisaziun da distribuziun (p.ex. organisaziun turistica, plattafurma da cudeschaziun etc.) per pudair trair a niz turisticamain (alloschament a curta durada).</t>
  </si>
  <si>
    <t>(1) Per appartamenti di vacanza amministrati a scopo commerciale si intendono gli alloggi offerti ad uso turistico (alloggio di breve durata) tramite un'organizzazione di distribuzione (organizzazione turistica, piattaforma di prenotazione, ecc.).</t>
  </si>
  <si>
    <t>(1) Sco alloschis collectivs valan d' ina vart manaschis che dattan a fit plazzas da durmir (letgs) en chombras collectivas. Sco alloschis collectivs valan er localitads che vegnan dadas a fit en total e ch' èn destinadas a l' alloschi da gruppas.</t>
  </si>
  <si>
    <t>(1) Per alloggio collettivo si intendono, da un lato, le aziende che danno in affitto posti letto (letti) in camere collettive. Per alloggio collettivo si intendono inoltre anche i locali dati in affitto e destinati all'alloggio collettivo.</t>
  </si>
  <si>
    <t>INPUT JAHRESZAHL</t>
  </si>
  <si>
    <t>&lt;SpaltenTitel_3.1&gt;</t>
  </si>
  <si>
    <t>&lt;SpaltenTitel_4.1&gt;</t>
  </si>
  <si>
    <t>Bregaglia Engadin</t>
  </si>
  <si>
    <t>Engadin St. Moritz</t>
  </si>
  <si>
    <t>Letztmals aktualisiert am: 09.07.2024</t>
  </si>
  <si>
    <t>Ultima actualisaziun: 09.07.2024</t>
  </si>
  <si>
    <t>Ulimo aggiornamento: 09.07.2024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</si>
</sst>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,###,##0.0____;\-#,###,##0.0____;\-____;@____"/>
    <numFmt numFmtId="165" formatCode="#,###,##0____;\-#,###,##0____;\-____;@____"/>
    <numFmt numFmtId="166" formatCode="0.0%"/>
    <numFmt numFmtId="167" formatCode="_ * #,##0_ ;_ * \-#,##0_ ;_ * &quot;-&quot;??_ ;_ @_ "/>
  </numFmts>
  <fonts count="21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 Narrow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8"/>
      <color rgb="FF00000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3" fillId="0" borderId="0"/>
  </cellStyleXfs>
  <cellXfs count="116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 applyBorder="1" applyAlignment="1">
      <alignment horizontal="left" vertical="top" wrapText="1"/>
    </xf>
    <xf numFmtId="0" fontId="0" fillId="2" borderId="0" xfId="0" applyFont="1" applyFill="1"/>
    <xf numFmtId="0" fontId="7" fillId="2" borderId="0" xfId="0" applyFont="1" applyFill="1" applyBorder="1"/>
    <xf numFmtId="0" fontId="8" fillId="3" borderId="0" xfId="5" applyFont="1" applyFill="1" applyBorder="1" applyAlignment="1">
      <alignment vertical="center"/>
    </xf>
    <xf numFmtId="0" fontId="15" fillId="2" borderId="0" xfId="0" applyFont="1" applyFill="1"/>
    <xf numFmtId="0" fontId="0" fillId="2" borderId="0" xfId="0" applyFont="1" applyFill="1"/>
    <xf numFmtId="0" fontId="1" fillId="3" borderId="0" xfId="5" applyFont="1" applyFill="1" applyBorder="1" applyAlignment="1">
      <alignment horizontal="left" vertical="center"/>
    </xf>
    <xf numFmtId="165" fontId="1" fillId="3" borderId="0" xfId="5" applyNumberFormat="1" applyFont="1" applyFill="1" applyBorder="1" applyAlignment="1">
      <alignment horizontal="right" vertical="center"/>
    </xf>
    <xf numFmtId="0" fontId="2" fillId="2" borderId="0" xfId="0" applyFont="1" applyFill="1" applyBorder="1"/>
    <xf numFmtId="0" fontId="5" fillId="2" borderId="0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left"/>
    </xf>
    <xf numFmtId="167" fontId="12" fillId="4" borderId="0" xfId="0" applyNumberFormat="1" applyFont="1" applyFill="1" applyBorder="1" applyAlignment="1">
      <alignment horizontal="left"/>
    </xf>
    <xf numFmtId="0" fontId="0" fillId="2" borderId="3" xfId="0" applyFont="1" applyFill="1" applyBorder="1"/>
    <xf numFmtId="167" fontId="11" fillId="2" borderId="4" xfId="1" applyNumberFormat="1" applyFont="1" applyFill="1" applyBorder="1" applyAlignment="1">
      <alignment horizontal="right"/>
    </xf>
    <xf numFmtId="0" fontId="0" fillId="2" borderId="5" xfId="0" applyFont="1" applyFill="1" applyBorder="1"/>
    <xf numFmtId="167" fontId="11" fillId="2" borderId="6" xfId="1" applyNumberFormat="1" applyFont="1" applyFill="1" applyBorder="1" applyAlignment="1">
      <alignment horizontal="right"/>
    </xf>
    <xf numFmtId="167" fontId="12" fillId="4" borderId="2" xfId="0" applyNumberFormat="1" applyFont="1" applyFill="1" applyBorder="1" applyAlignment="1">
      <alignment horizontal="left"/>
    </xf>
    <xf numFmtId="167" fontId="11" fillId="2" borderId="3" xfId="1" applyNumberFormat="1" applyFont="1" applyFill="1" applyBorder="1" applyAlignment="1">
      <alignment horizontal="right"/>
    </xf>
    <xf numFmtId="167" fontId="11" fillId="2" borderId="5" xfId="1" applyNumberFormat="1" applyFont="1" applyFill="1" applyBorder="1" applyAlignment="1">
      <alignment horizontal="right"/>
    </xf>
    <xf numFmtId="0" fontId="0" fillId="2" borderId="0" xfId="0" applyFont="1" applyFill="1" applyBorder="1"/>
    <xf numFmtId="167" fontId="11" fillId="2" borderId="0" xfId="1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left" vertical="top"/>
    </xf>
    <xf numFmtId="0" fontId="0" fillId="2" borderId="7" xfId="0" applyFont="1" applyFill="1" applyBorder="1"/>
    <xf numFmtId="164" fontId="1" fillId="3" borderId="0" xfId="5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 wrapText="1"/>
    </xf>
    <xf numFmtId="167" fontId="12" fillId="4" borderId="0" xfId="1" applyNumberFormat="1" applyFont="1" applyFill="1" applyBorder="1" applyAlignment="1">
      <alignment horizontal="right"/>
    </xf>
    <xf numFmtId="167" fontId="12" fillId="4" borderId="3" xfId="1" applyNumberFormat="1" applyFont="1" applyFill="1" applyBorder="1" applyAlignment="1">
      <alignment horizontal="right"/>
    </xf>
    <xf numFmtId="167" fontId="12" fillId="4" borderId="2" xfId="1" applyNumberFormat="1" applyFont="1" applyFill="1" applyBorder="1" applyAlignment="1">
      <alignment horizontal="right"/>
    </xf>
    <xf numFmtId="167" fontId="12" fillId="4" borderId="8" xfId="1" applyNumberFormat="1" applyFont="1" applyFill="1" applyBorder="1" applyAlignment="1">
      <alignment horizontal="right"/>
    </xf>
    <xf numFmtId="167" fontId="11" fillId="2" borderId="9" xfId="1" applyNumberFormat="1" applyFont="1" applyFill="1" applyBorder="1" applyAlignment="1">
      <alignment horizontal="right"/>
    </xf>
    <xf numFmtId="167" fontId="11" fillId="2" borderId="10" xfId="1" applyNumberFormat="1" applyFont="1" applyFill="1" applyBorder="1" applyAlignment="1">
      <alignment horizontal="right"/>
    </xf>
    <xf numFmtId="0" fontId="0" fillId="0" borderId="0" xfId="0" applyAlignment="1">
      <alignment vertical="top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right" vertical="center"/>
    </xf>
    <xf numFmtId="0" fontId="0" fillId="2" borderId="11" xfId="0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left"/>
    </xf>
    <xf numFmtId="167" fontId="12" fillId="5" borderId="0" xfId="0" applyNumberFormat="1" applyFont="1" applyFill="1" applyBorder="1" applyAlignment="1">
      <alignment horizontal="left"/>
    </xf>
    <xf numFmtId="167" fontId="12" fillId="5" borderId="2" xfId="0" applyNumberFormat="1" applyFont="1" applyFill="1" applyBorder="1" applyAlignment="1">
      <alignment horizontal="left"/>
    </xf>
    <xf numFmtId="0" fontId="9" fillId="2" borderId="0" xfId="0" applyFont="1" applyFill="1" applyAlignment="1" applyProtection="1">
      <alignment vertical="top"/>
      <protection locked="0"/>
    </xf>
    <xf numFmtId="166" fontId="12" fillId="4" borderId="0" xfId="1" applyNumberFormat="1" applyFont="1" applyFill="1" applyBorder="1" applyAlignment="1">
      <alignment horizontal="right"/>
    </xf>
    <xf numFmtId="166" fontId="12" fillId="4" borderId="3" xfId="1" applyNumberFormat="1" applyFont="1" applyFill="1" applyBorder="1" applyAlignment="1">
      <alignment horizontal="right"/>
    </xf>
    <xf numFmtId="166" fontId="12" fillId="4" borderId="2" xfId="1" applyNumberFormat="1" applyFont="1" applyFill="1" applyBorder="1" applyAlignment="1">
      <alignment horizontal="right"/>
    </xf>
    <xf numFmtId="166" fontId="12" fillId="4" borderId="8" xfId="1" applyNumberFormat="1" applyFont="1" applyFill="1" applyBorder="1" applyAlignment="1">
      <alignment horizontal="right"/>
    </xf>
    <xf numFmtId="166" fontId="11" fillId="2" borderId="4" xfId="1" applyNumberFormat="1" applyFont="1" applyFill="1" applyBorder="1" applyAlignment="1">
      <alignment horizontal="right"/>
    </xf>
    <xf numFmtId="166" fontId="11" fillId="2" borderId="3" xfId="1" applyNumberFormat="1" applyFont="1" applyFill="1" applyBorder="1" applyAlignment="1">
      <alignment horizontal="right"/>
    </xf>
    <xf numFmtId="166" fontId="11" fillId="2" borderId="9" xfId="1" applyNumberFormat="1" applyFont="1" applyFill="1" applyBorder="1" applyAlignment="1">
      <alignment horizontal="right"/>
    </xf>
    <xf numFmtId="166" fontId="11" fillId="2" borderId="6" xfId="1" applyNumberFormat="1" applyFont="1" applyFill="1" applyBorder="1" applyAlignment="1">
      <alignment horizontal="right"/>
    </xf>
    <xf numFmtId="166" fontId="11" fillId="2" borderId="5" xfId="1" applyNumberFormat="1" applyFont="1" applyFill="1" applyBorder="1" applyAlignment="1">
      <alignment horizontal="right"/>
    </xf>
    <xf numFmtId="166" fontId="11" fillId="2" borderId="10" xfId="1" applyNumberFormat="1" applyFont="1" applyFill="1" applyBorder="1" applyAlignment="1">
      <alignment horizontal="right"/>
    </xf>
    <xf numFmtId="167" fontId="0" fillId="2" borderId="0" xfId="0" applyNumberFormat="1" applyFont="1" applyFill="1" applyBorder="1"/>
    <xf numFmtId="167" fontId="12" fillId="5" borderId="0" xfId="1" applyNumberFormat="1" applyFont="1" applyFill="1" applyBorder="1" applyAlignment="1">
      <alignment horizontal="right"/>
    </xf>
    <xf numFmtId="167" fontId="12" fillId="5" borderId="2" xfId="1" applyNumberFormat="1" applyFont="1" applyFill="1" applyBorder="1" applyAlignment="1">
      <alignment horizontal="right"/>
    </xf>
    <xf numFmtId="166" fontId="11" fillId="2" borderId="0" xfId="1" applyNumberFormat="1" applyFont="1" applyFill="1" applyBorder="1" applyAlignment="1">
      <alignment horizontal="right"/>
    </xf>
    <xf numFmtId="0" fontId="0" fillId="2" borderId="0" xfId="0" applyFill="1" applyAlignment="1">
      <alignment vertical="top"/>
    </xf>
    <xf numFmtId="0" fontId="9" fillId="2" borderId="0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/>
    </xf>
    <xf numFmtId="167" fontId="12" fillId="2" borderId="0" xfId="1" applyNumberFormat="1" applyFont="1" applyFill="1" applyBorder="1" applyAlignment="1">
      <alignment horizontal="right"/>
    </xf>
    <xf numFmtId="166" fontId="12" fillId="2" borderId="0" xfId="1" applyNumberFormat="1" applyFont="1" applyFill="1" applyBorder="1" applyAlignment="1">
      <alignment horizontal="right"/>
    </xf>
    <xf numFmtId="0" fontId="0" fillId="5" borderId="3" xfId="0" applyFont="1" applyFill="1" applyBorder="1"/>
    <xf numFmtId="167" fontId="11" fillId="5" borderId="4" xfId="1" applyNumberFormat="1" applyFont="1" applyFill="1" applyBorder="1" applyAlignment="1">
      <alignment horizontal="right"/>
    </xf>
    <xf numFmtId="167" fontId="11" fillId="5" borderId="3" xfId="1" applyNumberFormat="1" applyFont="1" applyFill="1" applyBorder="1" applyAlignment="1">
      <alignment horizontal="right"/>
    </xf>
    <xf numFmtId="167" fontId="11" fillId="5" borderId="9" xfId="1" applyNumberFormat="1" applyFont="1" applyFill="1" applyBorder="1" applyAlignment="1">
      <alignment horizontal="right"/>
    </xf>
    <xf numFmtId="166" fontId="11" fillId="5" borderId="4" xfId="1" applyNumberFormat="1" applyFont="1" applyFill="1" applyBorder="1" applyAlignment="1">
      <alignment horizontal="right"/>
    </xf>
    <xf numFmtId="166" fontId="11" fillId="5" borderId="3" xfId="1" applyNumberFormat="1" applyFont="1" applyFill="1" applyBorder="1" applyAlignment="1">
      <alignment horizontal="right"/>
    </xf>
    <xf numFmtId="166" fontId="11" fillId="5" borderId="9" xfId="1" applyNumberFormat="1" applyFont="1" applyFill="1" applyBorder="1" applyAlignment="1">
      <alignment horizontal="right"/>
    </xf>
    <xf numFmtId="0" fontId="14" fillId="6" borderId="0" xfId="0" applyFont="1" applyFill="1" applyBorder="1" applyAlignment="1">
      <alignment horizontal="left" vertical="top" wrapText="1"/>
    </xf>
    <xf numFmtId="0" fontId="11" fillId="7" borderId="0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7" borderId="0" xfId="0" applyFont="1" applyFill="1" applyBorder="1" applyAlignment="1">
      <alignment horizontal="left" vertical="top" wrapText="1"/>
    </xf>
    <xf numFmtId="0" fontId="11" fillId="7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7" fillId="7" borderId="0" xfId="0" applyFont="1" applyFill="1" applyBorder="1" applyAlignment="1">
      <alignment horizontal="left" vertical="top" wrapText="1"/>
    </xf>
    <xf numFmtId="0" fontId="13" fillId="7" borderId="0" xfId="0" applyFont="1" applyFill="1" applyBorder="1" applyAlignment="1">
      <alignment horizontal="left" vertical="top" wrapText="1"/>
    </xf>
    <xf numFmtId="0" fontId="13" fillId="8" borderId="0" xfId="0" applyFont="1" applyFill="1" applyBorder="1" applyAlignment="1">
      <alignment horizontal="left" vertical="center" wrapText="1"/>
    </xf>
    <xf numFmtId="0" fontId="11" fillId="9" borderId="0" xfId="0" applyFont="1" applyFill="1" applyBorder="1" applyAlignment="1">
      <alignment horizontal="left" vertical="top" wrapText="1"/>
    </xf>
    <xf numFmtId="0" fontId="13" fillId="9" borderId="0" xfId="0" applyFont="1" applyFill="1" applyBorder="1" applyAlignment="1">
      <alignment wrapText="1"/>
    </xf>
    <xf numFmtId="0" fontId="0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18" fillId="10" borderId="0" xfId="0" applyFont="1" applyFill="1" applyBorder="1" applyAlignment="1">
      <alignment horizontal="left" vertical="top" wrapText="1"/>
    </xf>
    <xf numFmtId="0" fontId="18" fillId="10" borderId="0" xfId="0" applyFont="1" applyFill="1" applyBorder="1" applyAlignment="1" applyProtection="1">
      <alignment horizontal="left" vertical="top" wrapText="1"/>
      <protection locked="0"/>
    </xf>
    <xf numFmtId="0" fontId="19" fillId="10" borderId="14" xfId="0" applyFont="1" applyFill="1" applyBorder="1" applyAlignment="1" applyProtection="1">
      <alignment horizontal="left" vertical="top" wrapText="1"/>
      <protection locked="0"/>
    </xf>
    <xf numFmtId="0" fontId="2" fillId="10" borderId="0" xfId="0" applyFont="1" applyFill="1" applyBorder="1" applyAlignment="1">
      <alignment horizontal="right" vertical="top" wrapText="1"/>
    </xf>
    <xf numFmtId="0" fontId="2" fillId="10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vertical="top"/>
    </xf>
    <xf numFmtId="0" fontId="0" fillId="2" borderId="12" xfId="0" applyFont="1" applyFill="1" applyBorder="1" applyAlignment="1">
      <alignment horizontal="center" vertical="top"/>
    </xf>
    <xf numFmtId="0" fontId="0" fillId="2" borderId="13" xfId="0" applyFont="1" applyFill="1" applyBorder="1" applyAlignment="1">
      <alignment horizontal="center" vertical="top"/>
    </xf>
    <xf numFmtId="0" fontId="0" fillId="2" borderId="11" xfId="0" applyFont="1" applyFill="1" applyBorder="1" applyAlignment="1">
      <alignment horizontal="center" vertical="top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 applyAlignment="1"/>
    <xf numFmtId="0" fontId="9" fillId="2" borderId="0" xfId="0" applyFont="1" applyFill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5" fillId="2" borderId="0" xfId="0" applyFont="1" applyFill="1" applyAlignment="1"/>
    <xf numFmtId="0" fontId="0" fillId="0" borderId="0" xfId="0" applyAlignment="1"/>
    <xf numFmtId="0" fontId="5" fillId="2" borderId="0" xfId="0" applyFont="1" applyFill="1" applyBorder="1" applyAlignment="1"/>
    <xf numFmtId="0" fontId="0" fillId="0" borderId="0" xfId="0" applyBorder="1" applyAlignment="1"/>
  </cellXfs>
  <cellStyles count="6">
    <cellStyle name="Komma" xfId="1" builtinId="3"/>
    <cellStyle name="Komma 2" xfId="2"/>
    <cellStyle name="Prozent 2" xfId="3"/>
    <cellStyle name="Standard" xfId="0" builtinId="0"/>
    <cellStyle name="Standard 2" xfId="4"/>
    <cellStyle name="Standard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558800</xdr:colOff>
      <xdr:row>5</xdr:row>
      <xdr:rowOff>32777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647700</xdr:colOff>
      <xdr:row>0</xdr:row>
      <xdr:rowOff>38100</xdr:rowOff>
    </xdr:from>
    <xdr:to>
      <xdr:col>6</xdr:col>
      <xdr:colOff>943589</xdr:colOff>
      <xdr:row>5</xdr:row>
      <xdr:rowOff>2648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057775" y="3810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776" name="Option Button 728" hidden="1">
                <a:extLst>
                  <a:ext uri="{63B3BB69-23CF-44E3-9099-C40C66FF867C}">
                    <a14:compatExt spid="_x0000_s2776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777" name="Option Button 729" hidden="1">
                <a:extLst>
                  <a:ext uri="{63B3BB69-23CF-44E3-9099-C40C66FF867C}">
                    <a14:compatExt spid="_x0000_s2777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778" name="Option Button 730" hidden="1">
                <a:extLst>
                  <a:ext uri="{63B3BB69-23CF-44E3-9099-C40C66FF867C}">
                    <a14:compatExt spid="_x0000_s2778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606425</xdr:colOff>
      <xdr:row>5</xdr:row>
      <xdr:rowOff>32777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619125</xdr:colOff>
      <xdr:row>0</xdr:row>
      <xdr:rowOff>38100</xdr:rowOff>
    </xdr:from>
    <xdr:to>
      <xdr:col>7</xdr:col>
      <xdr:colOff>133964</xdr:colOff>
      <xdr:row>5</xdr:row>
      <xdr:rowOff>2648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81575" y="3810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44" name="Option Button 124" hidden="1">
                <a:extLst>
                  <a:ext uri="{63B3BB69-23CF-44E3-9099-C40C66FF867C}">
                    <a14:compatExt spid="_x0000_s5244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45" name="Option Button 125" hidden="1">
                <a:extLst>
                  <a:ext uri="{63B3BB69-23CF-44E3-9099-C40C66FF867C}">
                    <a14:compatExt spid="_x0000_s5245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46" name="Option Button 126" hidden="1">
                <a:extLst>
                  <a:ext uri="{63B3BB69-23CF-44E3-9099-C40C66FF867C}">
                    <a14:compatExt spid="_x0000_s5246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tabSelected="1" workbookViewId="0"/>
  </sheetViews>
  <sheetFormatPr baseColWidth="10" defaultRowHeight="12.75" x14ac:dyDescent="0.2"/>
  <cols>
    <col min="1" max="1" width="31.5703125" style="5" customWidth="1"/>
    <col min="2" max="2" width="15.28515625" style="5" customWidth="1"/>
    <col min="3" max="3" width="17.28515625" style="5" customWidth="1"/>
    <col min="4" max="4" width="2" style="5" customWidth="1"/>
    <col min="5" max="5" width="19.140625" style="5" customWidth="1"/>
    <col min="6" max="6" width="12.42578125" style="5" bestFit="1" customWidth="1"/>
    <col min="7" max="7" width="14.28515625" style="5" bestFit="1" customWidth="1"/>
    <col min="8" max="8" width="10" style="5" bestFit="1" customWidth="1"/>
    <col min="9" max="9" width="12.28515625" style="5" bestFit="1" customWidth="1"/>
    <col min="10" max="10" width="14.28515625" style="5" bestFit="1" customWidth="1"/>
    <col min="11" max="11" width="10" style="5" bestFit="1" customWidth="1"/>
    <col min="12" max="12" width="2.140625" style="5" customWidth="1"/>
    <col min="13" max="13" width="11.42578125" style="5" hidden="1" customWidth="1"/>
    <col min="14" max="14" width="15.5703125" style="5" customWidth="1"/>
    <col min="15" max="15" width="12.42578125" style="5" bestFit="1" customWidth="1"/>
    <col min="16" max="16" width="14.28515625" style="5" bestFit="1" customWidth="1"/>
    <col min="17" max="17" width="10" style="5" bestFit="1" customWidth="1"/>
    <col min="18" max="18" width="12.42578125" style="5" bestFit="1" customWidth="1"/>
    <col min="19" max="19" width="14.28515625" style="5" bestFit="1" customWidth="1"/>
    <col min="20" max="20" width="10" style="5" bestFit="1" customWidth="1"/>
    <col min="21" max="16384" width="11.42578125" style="5"/>
  </cols>
  <sheetData>
    <row r="1" spans="1:20" s="1" customFormat="1" x14ac:dyDescent="0.2"/>
    <row r="2" spans="1:20" s="1" customFormat="1" ht="15.75" x14ac:dyDescent="0.25">
      <c r="B2" s="112"/>
      <c r="C2" s="113"/>
      <c r="D2" s="113"/>
      <c r="E2" s="113"/>
    </row>
    <row r="3" spans="1:20" s="1" customFormat="1" ht="15.75" x14ac:dyDescent="0.25">
      <c r="B3" s="112"/>
      <c r="C3" s="113"/>
      <c r="D3" s="113"/>
      <c r="E3" s="113"/>
    </row>
    <row r="4" spans="1:20" s="1" customFormat="1" ht="15.75" x14ac:dyDescent="0.25">
      <c r="B4" s="112"/>
      <c r="C4" s="113"/>
      <c r="D4" s="113"/>
      <c r="E4" s="113"/>
    </row>
    <row r="5" spans="1:20" s="2" customFormat="1" x14ac:dyDescent="0.2"/>
    <row r="6" spans="1:20" s="1" customFormat="1" ht="6" customHeight="1" x14ac:dyDescent="0.2">
      <c r="A6" s="2"/>
      <c r="B6" s="2"/>
      <c r="C6" s="2"/>
      <c r="D6" s="2"/>
      <c r="E6" s="2"/>
      <c r="F6" s="2"/>
      <c r="G6" s="2"/>
      <c r="H6" s="2"/>
    </row>
    <row r="7" spans="1:20" s="2" customFormat="1" ht="15.75" x14ac:dyDescent="0.2">
      <c r="A7" s="103" t="str">
        <f>VLOOKUP("&lt;Fachbereich&gt;",Uebersetzungen!$B$3:$E$31,Uebersetzungen!$B$2+1,FALSE)</f>
        <v>Daten &amp; Statistik</v>
      </c>
      <c r="B7" s="103"/>
      <c r="C7" s="103"/>
      <c r="D7" s="103"/>
      <c r="E7" s="3"/>
      <c r="F7" s="3"/>
      <c r="G7" s="3"/>
      <c r="H7" s="3"/>
    </row>
    <row r="8" spans="1:20" s="2" customFormat="1" ht="15.75" x14ac:dyDescent="0.2">
      <c r="A8" s="4"/>
      <c r="B8" s="4"/>
      <c r="C8" s="4"/>
      <c r="D8" s="4"/>
      <c r="E8" s="3"/>
      <c r="F8" s="3"/>
      <c r="G8" s="3"/>
      <c r="H8" s="3"/>
    </row>
    <row r="9" spans="1:20" s="2" customFormat="1" ht="27" customHeight="1" x14ac:dyDescent="0.2">
      <c r="A9" s="95" t="str">
        <f>VLOOKUP("&lt;Titel&gt;",Uebersetzungen!$B$3:$E$31,Uebersetzungen!$B$2+1,FALSE)</f>
        <v>Parahotelleriestatistik: Ferienwohnungen(1) - Angebot und Nachfrage 2023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</row>
    <row r="10" spans="1:20" s="2" customFormat="1" ht="15.75" x14ac:dyDescent="0.2">
      <c r="A10" s="13"/>
      <c r="B10" s="13"/>
      <c r="C10" s="13"/>
      <c r="D10" s="13"/>
      <c r="E10" s="3"/>
      <c r="F10" s="3"/>
      <c r="G10" s="3"/>
      <c r="H10" s="3"/>
    </row>
    <row r="11" spans="1:20" s="8" customFormat="1" ht="15.75" x14ac:dyDescent="0.25">
      <c r="A11" s="107" t="str">
        <f>VLOOKUP("&lt;UTitel1&gt;",Uebersetzungen!$B$3:$E$99,Uebersetzungen!$B$2+1,FALSE)</f>
        <v>Angebot in der Schweiz und den Grossregionen, 2023</v>
      </c>
      <c r="B11" s="110"/>
      <c r="C11" s="110"/>
      <c r="D11" s="111"/>
      <c r="E11" s="42" t="str">
        <f>VLOOKUP("&lt;UTitel2&gt;",Uebersetzungen!$B$3:$E$99,Uebersetzungen!$B$2+1,FALSE)</f>
        <v>Nachfrage in der Schweiz und den Grossregionen, 2023</v>
      </c>
      <c r="F11" s="35"/>
      <c r="G11" s="35"/>
      <c r="H11" s="35"/>
      <c r="N11" s="42" t="str">
        <f>VLOOKUP("&lt;UTitel3&gt;",Uebersetzungen!$B$3:$E$99,Uebersetzungen!$B$2+1,FALSE)</f>
        <v>Variationskoeffizienten der Nachfrage in der Schweiz und den Grossregionen, 2023</v>
      </c>
      <c r="O11" s="35"/>
      <c r="P11" s="35"/>
      <c r="Q11" s="35"/>
    </row>
    <row r="12" spans="1:20" ht="14.25" x14ac:dyDescent="0.2">
      <c r="A12" s="7"/>
      <c r="B12" s="7"/>
      <c r="C12" s="7"/>
      <c r="D12" s="7"/>
      <c r="E12" s="7"/>
      <c r="F12" s="7"/>
      <c r="G12" s="7"/>
      <c r="H12" s="7"/>
      <c r="N12" s="7"/>
      <c r="O12" s="7"/>
      <c r="P12" s="7"/>
      <c r="Q12" s="7"/>
      <c r="R12" s="9"/>
      <c r="S12" s="9"/>
      <c r="T12" s="9"/>
    </row>
    <row r="13" spans="1:20" s="9" customFormat="1" x14ac:dyDescent="0.2">
      <c r="A13" s="25"/>
      <c r="B13" s="96" t="str">
        <f>VLOOKUP("&lt;SpaltenTitel_1&gt;",Uebersetzungen!$B$3:$E$99,Uebersetzungen!$B$2+1,FALSE)</f>
        <v>Angebot</v>
      </c>
      <c r="C13" s="98"/>
      <c r="E13" s="25"/>
      <c r="F13" s="96" t="str">
        <f>VLOOKUP("&lt;SpaltenTitel_2&gt;",Uebersetzungen!$B$3:$E$99,Uebersetzungen!$B$2+1,FALSE)</f>
        <v>Ankünfte</v>
      </c>
      <c r="G13" s="97"/>
      <c r="H13" s="98"/>
      <c r="I13" s="99" t="str">
        <f>VLOOKUP("&lt;SpaltenTitel_3&gt;",Uebersetzungen!$B$3:$E$99,Uebersetzungen!$B$2+1,FALSE)</f>
        <v>Logiernächte</v>
      </c>
      <c r="J13" s="99"/>
      <c r="K13" s="100"/>
      <c r="N13" s="25"/>
      <c r="O13" s="96" t="str">
        <f>VLOOKUP("&lt;SpaltenTitel_2&gt;",Uebersetzungen!$B$3:$E$99,Uebersetzungen!$B$2+1,FALSE)</f>
        <v>Ankünfte</v>
      </c>
      <c r="P13" s="97"/>
      <c r="Q13" s="98"/>
      <c r="R13" s="99" t="str">
        <f>VLOOKUP("&lt;SpaltenTitel_3&gt;",Uebersetzungen!$B$3:$E$99,Uebersetzungen!$B$2+1,FALSE)</f>
        <v>Logiernächte</v>
      </c>
      <c r="S13" s="99"/>
      <c r="T13" s="100"/>
    </row>
    <row r="14" spans="1:20" s="9" customFormat="1" ht="38.25" x14ac:dyDescent="0.2">
      <c r="A14" s="36" t="str">
        <f>VLOOKUP("&lt;SpaltenTitel_1.1&gt;",Uebersetzungen!$B$3:$E$99,Uebersetzungen!$B$2+1,FALSE)</f>
        <v>Grossregion</v>
      </c>
      <c r="B14" s="28" t="str">
        <f>VLOOKUP("&lt;SpaltenTitel_1.2&gt;",Uebersetzungen!$B$3:$E$99,Uebersetzungen!$B$2+1,FALSE)</f>
        <v>Erfasste Ferienwohnungen</v>
      </c>
      <c r="C14" s="28" t="str">
        <f>VLOOKUP("&lt;SpaltenTitel_2.1&gt;",Uebersetzungen!$B$3:$E$99,Uebersetzungen!$B$2+1,FALSE)</f>
        <v>Vorhandene Betten</v>
      </c>
      <c r="E14" s="36" t="str">
        <f>VLOOKUP("&lt;SpaltenTitel_2.2&gt;",Uebersetzungen!$B$3:$E$99,Uebersetzungen!$B$2+1,FALSE)</f>
        <v>Grossregion</v>
      </c>
      <c r="F14" s="37" t="str">
        <f>VLOOKUP("&lt;SpaltenTitel_2.3&gt;",Uebersetzungen!$B$3:$E$99,Uebersetzungen!$B$2+1,FALSE)</f>
        <v>Inländer/innen</v>
      </c>
      <c r="G14" s="37" t="str">
        <f>VLOOKUP("&lt;SpaltenTitel_2.4&gt;",Uebersetzungen!$B$3:$E$99,Uebersetzungen!$B$2+1,FALSE)</f>
        <v>Ausländer/innen</v>
      </c>
      <c r="H14" s="37" t="str">
        <f>VLOOKUP("&lt;SpaltenTitel_2.5&gt;",Uebersetzungen!$B$3:$E$99,Uebersetzungen!$B$2+1,FALSE)</f>
        <v>Total</v>
      </c>
      <c r="I14" s="37" t="str">
        <f>VLOOKUP("&lt;SpaltenTitel_2.6&gt;",Uebersetzungen!$B$3:$E$99,Uebersetzungen!$B$2+1,FALSE)</f>
        <v>Inländer/innen</v>
      </c>
      <c r="J14" s="37" t="str">
        <f>VLOOKUP("&lt;SpaltenTitel_2.7&gt;",Uebersetzungen!$B$3:$E$99,Uebersetzungen!$B$2+1,FALSE)</f>
        <v>Ausländer/innen</v>
      </c>
      <c r="K14" s="38" t="str">
        <f>VLOOKUP("&lt;SpaltenTitel_2.8&gt;",Uebersetzungen!$B$3:$E$99,Uebersetzungen!$B$2+1,FALSE)</f>
        <v>Total</v>
      </c>
      <c r="N14" s="36" t="str">
        <f>VLOOKUP("&lt;SpaltenTitel_2.2&gt;",Uebersetzungen!$B$3:$E$99,Uebersetzungen!$B$2+1,FALSE)</f>
        <v>Grossregion</v>
      </c>
      <c r="O14" s="37" t="str">
        <f>VLOOKUP("&lt;SpaltenTitel_2.3&gt;",Uebersetzungen!$B$3:$E$99,Uebersetzungen!$B$2+1,FALSE)</f>
        <v>Inländer/innen</v>
      </c>
      <c r="P14" s="37" t="str">
        <f>VLOOKUP("&lt;SpaltenTitel_2.4&gt;",Uebersetzungen!$B$3:$E$99,Uebersetzungen!$B$2+1,FALSE)</f>
        <v>Ausländer/innen</v>
      </c>
      <c r="Q14" s="37" t="str">
        <f>VLOOKUP("&lt;SpaltenTitel_2.5&gt;",Uebersetzungen!$B$3:$E$99,Uebersetzungen!$B$2+1,FALSE)</f>
        <v>Total</v>
      </c>
      <c r="R14" s="37" t="str">
        <f>VLOOKUP("&lt;SpaltenTitel_2.6&gt;",Uebersetzungen!$B$3:$E$99,Uebersetzungen!$B$2+1,FALSE)</f>
        <v>Inländer/innen</v>
      </c>
      <c r="S14" s="37" t="str">
        <f>VLOOKUP("&lt;SpaltenTitel_2.7&gt;",Uebersetzungen!$B$3:$E$99,Uebersetzungen!$B$2+1,FALSE)</f>
        <v>Ausländer/innen</v>
      </c>
      <c r="T14" s="38" t="str">
        <f>VLOOKUP("&lt;SpaltenTitel_2.8&gt;",Uebersetzungen!$B$3:$E$99,Uebersetzungen!$B$2+1,FALSE)</f>
        <v>Total</v>
      </c>
    </row>
    <row r="15" spans="1:20" s="9" customFormat="1" x14ac:dyDescent="0.2">
      <c r="A15" s="14" t="str">
        <f>VLOOKUP("&lt;Zeilentitel_1&gt;",Uebersetzungen!$B$3:$E$99,Uebersetzungen!$B$2+1,FALSE)</f>
        <v>Schweiz</v>
      </c>
      <c r="B15" s="15">
        <v>28600</v>
      </c>
      <c r="C15" s="20">
        <v>137180</v>
      </c>
      <c r="E15" s="14" t="str">
        <f>VLOOKUP("&lt;Zeilentitel_1&gt;",Uebersetzungen!$B$3:$E$99,Uebersetzungen!$B$2+1,FALSE)</f>
        <v>Schweiz</v>
      </c>
      <c r="F15" s="29">
        <v>746836.50819999992</v>
      </c>
      <c r="G15" s="30">
        <v>470514.21510000003</v>
      </c>
      <c r="H15" s="31">
        <v>1217350.7231000001</v>
      </c>
      <c r="I15" s="31">
        <v>4498073.2894000001</v>
      </c>
      <c r="J15" s="31">
        <v>2722029.2778999996</v>
      </c>
      <c r="K15" s="32">
        <v>7220102.5673999991</v>
      </c>
      <c r="N15" s="14" t="str">
        <f>VLOOKUP("&lt;Zeilentitel_1&gt;",Uebersetzungen!$B$3:$E$99,Uebersetzungen!$B$2+1,FALSE)</f>
        <v>Schweiz</v>
      </c>
      <c r="O15" s="43">
        <v>1.3827000000000001E-2</v>
      </c>
      <c r="P15" s="44">
        <v>2.1871000000000002E-2</v>
      </c>
      <c r="Q15" s="45">
        <v>1.3237000000000001E-2</v>
      </c>
      <c r="R15" s="45">
        <v>1.2775E-2</v>
      </c>
      <c r="S15" s="45">
        <v>1.7704999999999999E-2</v>
      </c>
      <c r="T15" s="46">
        <v>1.1364000000000001E-2</v>
      </c>
    </row>
    <row r="16" spans="1:20" s="9" customFormat="1" x14ac:dyDescent="0.2">
      <c r="A16" s="16" t="str">
        <f>VLOOKUP("&lt;Zeilentitel_2&gt;",Uebersetzungen!$B$3:$E$99,Uebersetzungen!$B$2+1,FALSE)</f>
        <v>Genferseeregion</v>
      </c>
      <c r="B16" s="17">
        <v>12946</v>
      </c>
      <c r="C16" s="21">
        <v>65400</v>
      </c>
      <c r="E16" s="16" t="str">
        <f>VLOOKUP("&lt;Zeilentitel_2&gt;",Uebersetzungen!$B$3:$E$99,Uebersetzungen!$B$2+1,FALSE)</f>
        <v>Genferseeregion</v>
      </c>
      <c r="F16" s="17">
        <v>252894.93410000001</v>
      </c>
      <c r="G16" s="21">
        <v>158958.5545</v>
      </c>
      <c r="H16" s="21">
        <v>411853.48859999998</v>
      </c>
      <c r="I16" s="21">
        <v>1595924.3705</v>
      </c>
      <c r="J16" s="21">
        <v>1048368.1807</v>
      </c>
      <c r="K16" s="33">
        <v>2644292.5512000001</v>
      </c>
      <c r="N16" s="16" t="str">
        <f>VLOOKUP("&lt;Zeilentitel_2&gt;",Uebersetzungen!$B$3:$E$99,Uebersetzungen!$B$2+1,FALSE)</f>
        <v>Genferseeregion</v>
      </c>
      <c r="O16" s="47">
        <v>2.5052000000000001E-2</v>
      </c>
      <c r="P16" s="48">
        <v>3.8184000000000003E-2</v>
      </c>
      <c r="Q16" s="48">
        <v>2.4039999999999999E-2</v>
      </c>
      <c r="R16" s="48">
        <v>2.4067000000000002E-2</v>
      </c>
      <c r="S16" s="48">
        <v>3.1664999999999999E-2</v>
      </c>
      <c r="T16" s="49">
        <v>2.1548999999999999E-2</v>
      </c>
    </row>
    <row r="17" spans="1:20" s="9" customFormat="1" x14ac:dyDescent="0.2">
      <c r="A17" s="16" t="str">
        <f>VLOOKUP("&lt;Zeilentitel_3&gt;",Uebersetzungen!$B$3:$E$99,Uebersetzungen!$B$2+1,FALSE)</f>
        <v>Espace Mittelland</v>
      </c>
      <c r="B17" s="17">
        <v>3354</v>
      </c>
      <c r="C17" s="21">
        <v>16225</v>
      </c>
      <c r="E17" s="16" t="str">
        <f>VLOOKUP("&lt;Zeilentitel_3&gt;",Uebersetzungen!$B$3:$E$99,Uebersetzungen!$B$2+1,FALSE)</f>
        <v>Espace Mittelland</v>
      </c>
      <c r="F17" s="17">
        <v>96442.653000000006</v>
      </c>
      <c r="G17" s="21">
        <v>128568.0197</v>
      </c>
      <c r="H17" s="21">
        <v>225010.67259999999</v>
      </c>
      <c r="I17" s="21">
        <v>540112.75320000004</v>
      </c>
      <c r="J17" s="21">
        <v>650060.76370000001</v>
      </c>
      <c r="K17" s="33">
        <v>1190173.5168999999</v>
      </c>
      <c r="N17" s="16" t="str">
        <f>VLOOKUP("&lt;Zeilentitel_3&gt;",Uebersetzungen!$B$3:$E$99,Uebersetzungen!$B$2+1,FALSE)</f>
        <v>Espace Mittelland</v>
      </c>
      <c r="O17" s="47">
        <v>3.9591000000000001E-2</v>
      </c>
      <c r="P17" s="48">
        <v>5.6550000000000003E-2</v>
      </c>
      <c r="Q17" s="48">
        <v>3.9494000000000001E-2</v>
      </c>
      <c r="R17" s="48">
        <v>3.0821999999999999E-2</v>
      </c>
      <c r="S17" s="48">
        <v>4.0708000000000001E-2</v>
      </c>
      <c r="T17" s="49">
        <v>2.6464999999999999E-2</v>
      </c>
    </row>
    <row r="18" spans="1:20" s="9" customFormat="1" x14ac:dyDescent="0.2">
      <c r="A18" s="16" t="str">
        <f>VLOOKUP("&lt;Zeilentitel_4&gt;",Uebersetzungen!$B$3:$E$99,Uebersetzungen!$B$2+1,FALSE)</f>
        <v>Nordwestschweiz</v>
      </c>
      <c r="B18" s="17">
        <v>141</v>
      </c>
      <c r="C18" s="21">
        <v>552</v>
      </c>
      <c r="E18" s="16" t="str">
        <f>VLOOKUP("&lt;Zeilentitel_4&gt;",Uebersetzungen!$B$3:$E$99,Uebersetzungen!$B$2+1,FALSE)</f>
        <v>Nordwestschweiz</v>
      </c>
      <c r="F18" s="17">
        <v>9603.3014000000003</v>
      </c>
      <c r="G18" s="21">
        <v>14396.557199999999</v>
      </c>
      <c r="H18" s="21">
        <v>23999.858499999998</v>
      </c>
      <c r="I18" s="21">
        <v>24136.894899999999</v>
      </c>
      <c r="J18" s="21">
        <v>36208.128299999997</v>
      </c>
      <c r="K18" s="33">
        <v>60345.023200000003</v>
      </c>
      <c r="N18" s="16" t="str">
        <f>VLOOKUP("&lt;Zeilentitel_4&gt;",Uebersetzungen!$B$3:$E$99,Uebersetzungen!$B$2+1,FALSE)</f>
        <v>Nordwestschweiz</v>
      </c>
      <c r="O18" s="47">
        <v>2.6554000000000001E-2</v>
      </c>
      <c r="P18" s="48">
        <v>3.39E-2</v>
      </c>
      <c r="Q18" s="48">
        <v>3.0186000000000001E-2</v>
      </c>
      <c r="R18" s="48">
        <v>2.2395000000000002E-2</v>
      </c>
      <c r="S18" s="48">
        <v>2.7432000000000002E-2</v>
      </c>
      <c r="T18" s="49">
        <v>2.4486000000000001E-2</v>
      </c>
    </row>
    <row r="19" spans="1:20" s="9" customFormat="1" x14ac:dyDescent="0.2">
      <c r="A19" s="16" t="str">
        <f>VLOOKUP("&lt;Zeilentitel_5&gt;",Uebersetzungen!$B$3:$E$99,Uebersetzungen!$B$2+1,FALSE)</f>
        <v>Zürich</v>
      </c>
      <c r="B19" s="17">
        <v>164</v>
      </c>
      <c r="C19" s="21">
        <v>574</v>
      </c>
      <c r="E19" s="16" t="str">
        <f>VLOOKUP("&lt;Zeilentitel_5&gt;",Uebersetzungen!$B$3:$E$99,Uebersetzungen!$B$2+1,FALSE)</f>
        <v>Zürich</v>
      </c>
      <c r="F19" s="17">
        <v>8190.4265999999998</v>
      </c>
      <c r="G19" s="21">
        <v>14726.0203</v>
      </c>
      <c r="H19" s="21">
        <v>22916.446899999999</v>
      </c>
      <c r="I19" s="21">
        <v>21458.67</v>
      </c>
      <c r="J19" s="21">
        <v>32409.5861</v>
      </c>
      <c r="K19" s="33">
        <v>53868.256099999999</v>
      </c>
      <c r="N19" s="16" t="str">
        <f>VLOOKUP("&lt;Zeilentitel_5&gt;",Uebersetzungen!$B$3:$E$99,Uebersetzungen!$B$2+1,FALSE)</f>
        <v>Zürich</v>
      </c>
      <c r="O19" s="47">
        <v>5.7638000000000002E-2</v>
      </c>
      <c r="P19" s="48">
        <v>5.5196000000000002E-2</v>
      </c>
      <c r="Q19" s="48">
        <v>5.5022000000000001E-2</v>
      </c>
      <c r="R19" s="48">
        <v>5.4468999999999997E-2</v>
      </c>
      <c r="S19" s="48">
        <v>4.2930000000000003E-2</v>
      </c>
      <c r="T19" s="49">
        <v>4.2391999999999999E-2</v>
      </c>
    </row>
    <row r="20" spans="1:20" s="9" customFormat="1" x14ac:dyDescent="0.2">
      <c r="A20" s="16" t="str">
        <f>VLOOKUP("&lt;Zeilentitel_6&gt;",Uebersetzungen!$B$3:$E$99,Uebersetzungen!$B$2+1,FALSE)</f>
        <v>Ostschweiz</v>
      </c>
      <c r="B20" s="17">
        <v>7671</v>
      </c>
      <c r="C20" s="21">
        <v>36390</v>
      </c>
      <c r="E20" s="16" t="str">
        <f>VLOOKUP("&lt;Zeilentitel_6&gt;",Uebersetzungen!$B$3:$E$99,Uebersetzungen!$B$2+1,FALSE)</f>
        <v>Ostschweiz</v>
      </c>
      <c r="F20" s="17">
        <v>254118.7341</v>
      </c>
      <c r="G20" s="21">
        <v>76787.254400000005</v>
      </c>
      <c r="H20" s="21">
        <v>330905.98849999998</v>
      </c>
      <c r="I20" s="21">
        <v>1683726.7801999999</v>
      </c>
      <c r="J20" s="21">
        <v>574375.93640000001</v>
      </c>
      <c r="K20" s="33">
        <v>2258102.7165999999</v>
      </c>
      <c r="N20" s="16" t="str">
        <f>VLOOKUP("&lt;Zeilentitel_6&gt;",Uebersetzungen!$B$3:$E$99,Uebersetzungen!$B$2+1,FALSE)</f>
        <v>Ostschweiz</v>
      </c>
      <c r="O20" s="47">
        <v>2.7224999999999999E-2</v>
      </c>
      <c r="P20" s="48">
        <v>4.4005000000000002E-2</v>
      </c>
      <c r="Q20" s="48">
        <v>2.5284999999999998E-2</v>
      </c>
      <c r="R20" s="48">
        <v>2.2744E-2</v>
      </c>
      <c r="S20" s="48">
        <v>3.6437999999999998E-2</v>
      </c>
      <c r="T20" s="49">
        <v>2.1042000000000002E-2</v>
      </c>
    </row>
    <row r="21" spans="1:20" s="9" customFormat="1" x14ac:dyDescent="0.2">
      <c r="A21" s="16" t="str">
        <f>VLOOKUP("&lt;Zeilentitel_7&gt;",Uebersetzungen!$B$3:$E$99,Uebersetzungen!$B$2+1,FALSE)</f>
        <v>Zentralschweiz</v>
      </c>
      <c r="B21" s="17">
        <v>1542</v>
      </c>
      <c r="C21" s="21">
        <v>6705</v>
      </c>
      <c r="E21" s="16" t="str">
        <f>VLOOKUP("&lt;Zeilentitel_7&gt;",Uebersetzungen!$B$3:$E$99,Uebersetzungen!$B$2+1,FALSE)</f>
        <v>Zentralschweiz</v>
      </c>
      <c r="F21" s="17">
        <v>59617.709600000002</v>
      </c>
      <c r="G21" s="21">
        <v>44644.205900000001</v>
      </c>
      <c r="H21" s="21">
        <v>104261.9155</v>
      </c>
      <c r="I21" s="21">
        <v>251368.32380000001</v>
      </c>
      <c r="J21" s="21">
        <v>196684.53760000001</v>
      </c>
      <c r="K21" s="33">
        <v>448052.8615</v>
      </c>
      <c r="N21" s="16" t="str">
        <f>VLOOKUP("&lt;Zeilentitel_7&gt;",Uebersetzungen!$B$3:$E$99,Uebersetzungen!$B$2+1,FALSE)</f>
        <v>Zentralschweiz</v>
      </c>
      <c r="O21" s="47">
        <v>1.8881999999999999E-2</v>
      </c>
      <c r="P21" s="48">
        <v>3.1945000000000001E-2</v>
      </c>
      <c r="Q21" s="48">
        <v>1.8981000000000001E-2</v>
      </c>
      <c r="R21" s="48">
        <v>1.8883E-2</v>
      </c>
      <c r="S21" s="48">
        <v>3.4511E-2</v>
      </c>
      <c r="T21" s="49">
        <v>2.1180999999999998E-2</v>
      </c>
    </row>
    <row r="22" spans="1:20" s="9" customFormat="1" x14ac:dyDescent="0.2">
      <c r="A22" s="18" t="str">
        <f>VLOOKUP("&lt;Zeilentitel_8&gt;",Uebersetzungen!$B$3:$E$99,Uebersetzungen!$B$2+1,FALSE)</f>
        <v>Tessin</v>
      </c>
      <c r="B22" s="19">
        <v>2782</v>
      </c>
      <c r="C22" s="22">
        <v>11334</v>
      </c>
      <c r="E22" s="18" t="str">
        <f>VLOOKUP("&lt;Zeilentitel_8&gt;",Uebersetzungen!$B$3:$E$99,Uebersetzungen!$B$2+1,FALSE)</f>
        <v>Tessin</v>
      </c>
      <c r="F22" s="19">
        <v>65968.749400000001</v>
      </c>
      <c r="G22" s="22">
        <v>32433.6031</v>
      </c>
      <c r="H22" s="22">
        <v>98402.352499999994</v>
      </c>
      <c r="I22" s="22">
        <v>381345.49680000002</v>
      </c>
      <c r="J22" s="22">
        <v>183922.14509999999</v>
      </c>
      <c r="K22" s="34">
        <v>565267.64190000005</v>
      </c>
      <c r="N22" s="18" t="str">
        <f>VLOOKUP("&lt;Zeilentitel_8&gt;",Uebersetzungen!$B$3:$E$99,Uebersetzungen!$B$2+1,FALSE)</f>
        <v>Tessin</v>
      </c>
      <c r="O22" s="50">
        <v>2.4E-2</v>
      </c>
      <c r="P22" s="51">
        <v>4.1835999999999998E-2</v>
      </c>
      <c r="Q22" s="51">
        <v>2.6141999999999999E-2</v>
      </c>
      <c r="R22" s="51">
        <v>2.0166E-2</v>
      </c>
      <c r="S22" s="51">
        <v>3.1335000000000002E-2</v>
      </c>
      <c r="T22" s="52">
        <v>2.0746000000000001E-2</v>
      </c>
    </row>
    <row r="23" spans="1:20" s="9" customFormat="1" x14ac:dyDescent="0.2">
      <c r="A23" s="23"/>
      <c r="B23" s="24"/>
      <c r="C23" s="24"/>
      <c r="E23" s="23"/>
      <c r="F23" s="24"/>
      <c r="G23" s="24"/>
      <c r="H23" s="24"/>
      <c r="I23" s="24"/>
      <c r="J23" s="24"/>
      <c r="K23" s="24"/>
      <c r="N23" s="23"/>
      <c r="O23" s="56"/>
      <c r="P23" s="56"/>
      <c r="Q23" s="56"/>
      <c r="R23" s="56"/>
      <c r="S23" s="56"/>
      <c r="T23" s="56"/>
    </row>
    <row r="24" spans="1:20" s="9" customFormat="1" x14ac:dyDescent="0.2">
      <c r="A24" s="23"/>
      <c r="B24" s="24"/>
      <c r="C24" s="24"/>
      <c r="E24" s="23"/>
      <c r="F24" s="24"/>
      <c r="G24" s="24"/>
      <c r="N24" s="23"/>
      <c r="O24" s="24"/>
      <c r="P24" s="24"/>
    </row>
    <row r="25" spans="1:20" s="9" customFormat="1" ht="15.75" x14ac:dyDescent="0.25">
      <c r="A25" s="107" t="str">
        <f>VLOOKUP("&lt;UTitel4&gt;",Uebersetzungen!$B$3:$E$99,Uebersetzungen!$B$2+1,FALSE)</f>
        <v>Angebot in ausgewählten Kantonen, 2023</v>
      </c>
      <c r="B25" s="110"/>
      <c r="C25" s="110"/>
      <c r="D25" s="111"/>
      <c r="E25" s="42" t="str">
        <f>VLOOKUP("&lt;UTitel5&gt;",Uebersetzungen!$B$3:$E$99,Uebersetzungen!$B$2+1,FALSE)</f>
        <v>Nachfrage in ausgewählten Kantonen, 2023</v>
      </c>
      <c r="F25" s="35"/>
      <c r="G25" s="57"/>
      <c r="H25" s="35"/>
      <c r="I25" s="8"/>
      <c r="J25" s="8"/>
      <c r="K25" s="8"/>
      <c r="L25" s="8"/>
      <c r="M25" s="8"/>
      <c r="N25" s="42" t="str">
        <f>VLOOKUP("&lt;UTitel6&gt;",Uebersetzungen!$B$3:$E$99,Uebersetzungen!$B$2+1,FALSE)</f>
        <v>Variationskoeffizienten der Nachfrage in ausgewählten Kantonen, 2023</v>
      </c>
      <c r="O25" s="35"/>
      <c r="P25" s="35"/>
      <c r="Q25" s="35"/>
      <c r="R25" s="8"/>
      <c r="S25" s="8"/>
      <c r="T25" s="8"/>
    </row>
    <row r="26" spans="1:20" ht="14.25" x14ac:dyDescent="0.2">
      <c r="A26" s="7"/>
      <c r="B26" s="7"/>
      <c r="C26" s="7"/>
      <c r="D26" s="7"/>
      <c r="E26" s="7"/>
      <c r="F26" s="7"/>
      <c r="G26" s="7"/>
      <c r="H26" s="7"/>
      <c r="I26" s="9"/>
      <c r="J26" s="9"/>
      <c r="K26" s="9"/>
      <c r="L26" s="9"/>
      <c r="M26" s="9"/>
      <c r="N26" s="7"/>
      <c r="O26" s="7"/>
      <c r="P26" s="7"/>
      <c r="Q26" s="7"/>
      <c r="R26" s="9"/>
      <c r="S26" s="9"/>
      <c r="T26" s="9"/>
    </row>
    <row r="27" spans="1:20" s="9" customFormat="1" x14ac:dyDescent="0.2">
      <c r="A27" s="25"/>
      <c r="B27" s="96" t="str">
        <f>VLOOKUP("&lt;SpaltenTitel_1&gt;",Uebersetzungen!$B$3:$E$99,Uebersetzungen!$B$2+1,FALSE)</f>
        <v>Angebot</v>
      </c>
      <c r="C27" s="98"/>
      <c r="E27" s="25"/>
      <c r="F27" s="96" t="str">
        <f>VLOOKUP("&lt;SpaltenTitel_2&gt;",Uebersetzungen!$B$3:$E$99,Uebersetzungen!$B$2+1,FALSE)</f>
        <v>Ankünfte</v>
      </c>
      <c r="G27" s="97"/>
      <c r="H27" s="98"/>
      <c r="I27" s="99" t="str">
        <f>VLOOKUP("&lt;SpaltenTitel_3&gt;",Uebersetzungen!$B$3:$E$99,Uebersetzungen!$B$2+1,FALSE)</f>
        <v>Logiernächte</v>
      </c>
      <c r="J27" s="99"/>
      <c r="K27" s="100"/>
      <c r="N27" s="25"/>
      <c r="O27" s="96" t="str">
        <f>VLOOKUP("&lt;SpaltenTitel_2&gt;",Uebersetzungen!$B$3:$E$99,Uebersetzungen!$B$2+1,FALSE)</f>
        <v>Ankünfte</v>
      </c>
      <c r="P27" s="97"/>
      <c r="Q27" s="98"/>
      <c r="R27" s="99" t="str">
        <f>VLOOKUP("&lt;SpaltenTitel_3&gt;",Uebersetzungen!$B$3:$E$99,Uebersetzungen!$B$2+1,FALSE)</f>
        <v>Logiernächte</v>
      </c>
      <c r="S27" s="99"/>
      <c r="T27" s="100"/>
    </row>
    <row r="28" spans="1:20" ht="38.25" x14ac:dyDescent="0.2">
      <c r="A28" s="36" t="str">
        <f>VLOOKUP("&lt;SpaltenTitel_3.1&gt;",Uebersetzungen!$B$3:$E$99,Uebersetzungen!$B$2+1,FALSE)</f>
        <v>Kanton</v>
      </c>
      <c r="B28" s="28" t="str">
        <f>VLOOKUP("&lt;SpaltenTitel_1.2&gt;",Uebersetzungen!$B$3:$E$99,Uebersetzungen!$B$2+1,FALSE)</f>
        <v>Erfasste Ferienwohnungen</v>
      </c>
      <c r="C28" s="28" t="str">
        <f>VLOOKUP("&lt;SpaltenTitel_2.1&gt;",Uebersetzungen!$B$3:$E$99,Uebersetzungen!$B$2+1,FALSE)</f>
        <v>Vorhandene Betten</v>
      </c>
      <c r="D28" s="9"/>
      <c r="E28" s="36" t="str">
        <f>VLOOKUP("&lt;SpaltenTitel_3.1&gt;",Uebersetzungen!$B$3:$E$99,Uebersetzungen!$B$2+1,FALSE)</f>
        <v>Kanton</v>
      </c>
      <c r="F28" s="37" t="str">
        <f>VLOOKUP("&lt;SpaltenTitel_2.3&gt;",Uebersetzungen!$B$3:$E$99,Uebersetzungen!$B$2+1,FALSE)</f>
        <v>Inländer/innen</v>
      </c>
      <c r="G28" s="37" t="str">
        <f>VLOOKUP("&lt;SpaltenTitel_2.4&gt;",Uebersetzungen!$B$3:$E$99,Uebersetzungen!$B$2+1,FALSE)</f>
        <v>Ausländer/innen</v>
      </c>
      <c r="H28" s="37" t="str">
        <f>VLOOKUP("&lt;SpaltenTitel_2.5&gt;",Uebersetzungen!$B$3:$E$99,Uebersetzungen!$B$2+1,FALSE)</f>
        <v>Total</v>
      </c>
      <c r="I28" s="37" t="str">
        <f>VLOOKUP("&lt;SpaltenTitel_2.6&gt;",Uebersetzungen!$B$3:$E$99,Uebersetzungen!$B$2+1,FALSE)</f>
        <v>Inländer/innen</v>
      </c>
      <c r="J28" s="37" t="str">
        <f>VLOOKUP("&lt;SpaltenTitel_2.7&gt;",Uebersetzungen!$B$3:$E$99,Uebersetzungen!$B$2+1,FALSE)</f>
        <v>Ausländer/innen</v>
      </c>
      <c r="K28" s="38" t="str">
        <f>VLOOKUP("&lt;SpaltenTitel_2.8&gt;",Uebersetzungen!$B$3:$E$99,Uebersetzungen!$B$2+1,FALSE)</f>
        <v>Total</v>
      </c>
      <c r="L28" s="9"/>
      <c r="M28" s="9"/>
      <c r="N28" s="36" t="str">
        <f>VLOOKUP("&lt;SpaltenTitel_3.1&gt;",Uebersetzungen!$B$3:$E$99,Uebersetzungen!$B$2+1,FALSE)</f>
        <v>Kanton</v>
      </c>
      <c r="O28" s="37" t="str">
        <f>VLOOKUP("&lt;SpaltenTitel_2.3&gt;",Uebersetzungen!$B$3:$E$99,Uebersetzungen!$B$2+1,FALSE)</f>
        <v>Inländer/innen</v>
      </c>
      <c r="P28" s="37" t="str">
        <f>VLOOKUP("&lt;SpaltenTitel_2.4&gt;",Uebersetzungen!$B$3:$E$99,Uebersetzungen!$B$2+1,FALSE)</f>
        <v>Ausländer/innen</v>
      </c>
      <c r="Q28" s="37" t="str">
        <f>VLOOKUP("&lt;SpaltenTitel_2.5&gt;",Uebersetzungen!$B$3:$E$99,Uebersetzungen!$B$2+1,FALSE)</f>
        <v>Total</v>
      </c>
      <c r="R28" s="37" t="str">
        <f>VLOOKUP("&lt;SpaltenTitel_2.6&gt;",Uebersetzungen!$B$3:$E$99,Uebersetzungen!$B$2+1,FALSE)</f>
        <v>Inländer/innen</v>
      </c>
      <c r="S28" s="37" t="str">
        <f>VLOOKUP("&lt;SpaltenTitel_2.7&gt;",Uebersetzungen!$B$3:$E$99,Uebersetzungen!$B$2+1,FALSE)</f>
        <v>Ausländer/innen</v>
      </c>
      <c r="T28" s="38" t="str">
        <f>VLOOKUP("&lt;SpaltenTitel_2.8&gt;",Uebersetzungen!$B$3:$E$99,Uebersetzungen!$B$2+1,FALSE)</f>
        <v>Total</v>
      </c>
    </row>
    <row r="29" spans="1:20" x14ac:dyDescent="0.2">
      <c r="A29" s="16" t="str">
        <f>VLOOKUP("&lt;Zeilentitel_9&gt;",Uebersetzungen!$B$3:$E$99,Uebersetzungen!$B$2+1,FALSE)</f>
        <v>Bern</v>
      </c>
      <c r="B29" s="17">
        <v>2680</v>
      </c>
      <c r="C29" s="21">
        <v>13028</v>
      </c>
      <c r="D29" s="9"/>
      <c r="E29" s="16" t="str">
        <f>VLOOKUP("&lt;Zeilentitel_9&gt;",Uebersetzungen!$B$3:$E$99,Uebersetzungen!$B$2+1,FALSE)</f>
        <v>Bern</v>
      </c>
      <c r="F29" s="17">
        <v>196933.21890000001</v>
      </c>
      <c r="G29" s="21">
        <v>76804.821500000005</v>
      </c>
      <c r="H29" s="21">
        <v>120128.3974</v>
      </c>
      <c r="I29" s="21">
        <v>452110.01270000002</v>
      </c>
      <c r="J29" s="21">
        <v>602241.07200000004</v>
      </c>
      <c r="K29" s="33">
        <v>1054351.0847</v>
      </c>
      <c r="L29" s="9"/>
      <c r="M29" s="9"/>
      <c r="N29" s="16" t="str">
        <f>VLOOKUP("&lt;Zeilentitel_9&gt;",Uebersetzungen!$B$3:$E$99,Uebersetzungen!$B$2+1,FALSE)</f>
        <v>Bern</v>
      </c>
      <c r="O29" s="47">
        <v>3.9711000000000003E-2</v>
      </c>
      <c r="P29" s="48">
        <v>3.4833000000000003E-2</v>
      </c>
      <c r="Q29" s="48">
        <v>5.8906E-2</v>
      </c>
      <c r="R29" s="48">
        <v>3.2295999999999998E-2</v>
      </c>
      <c r="S29" s="48">
        <v>4.2627999999999999E-2</v>
      </c>
      <c r="T29" s="49">
        <v>2.7373000000000001E-2</v>
      </c>
    </row>
    <row r="30" spans="1:20" x14ac:dyDescent="0.2">
      <c r="A30" s="66" t="str">
        <f>VLOOKUP("&lt;Zeilentitel_10&gt;",Uebersetzungen!$B$3:$E$99,Uebersetzungen!$B$2+1,FALSE)</f>
        <v>Graubünden</v>
      </c>
      <c r="B30" s="67">
        <v>6645</v>
      </c>
      <c r="C30" s="68">
        <v>31015</v>
      </c>
      <c r="D30" s="9"/>
      <c r="E30" s="66" t="str">
        <f>VLOOKUP("&lt;Zeilentitel_10&gt;",Uebersetzungen!$B$3:$E$99,Uebersetzungen!$B$2+1,FALSE)</f>
        <v>Graubünden</v>
      </c>
      <c r="F30" s="67">
        <v>277454.88990000001</v>
      </c>
      <c r="G30" s="68">
        <v>214572.69949999999</v>
      </c>
      <c r="H30" s="68">
        <v>62882.190300000002</v>
      </c>
      <c r="I30" s="68">
        <v>1472664.2775999999</v>
      </c>
      <c r="J30" s="68">
        <v>493235.25689999998</v>
      </c>
      <c r="K30" s="69">
        <v>1965899.5345000001</v>
      </c>
      <c r="L30" s="9"/>
      <c r="M30" s="9"/>
      <c r="N30" s="66" t="str">
        <f>VLOOKUP("&lt;Zeilentitel_10&gt;",Uebersetzungen!$B$3:$E$99,Uebersetzungen!$B$2+1,FALSE)</f>
        <v>Graubünden</v>
      </c>
      <c r="O30" s="70">
        <v>2.5586999999999999E-2</v>
      </c>
      <c r="P30" s="71">
        <v>2.7661999999999999E-2</v>
      </c>
      <c r="Q30" s="71">
        <v>3.6913000000000001E-2</v>
      </c>
      <c r="R30" s="71">
        <v>2.4337999999999999E-2</v>
      </c>
      <c r="S30" s="71">
        <v>3.3681999999999997E-2</v>
      </c>
      <c r="T30" s="72">
        <v>2.2341E-2</v>
      </c>
    </row>
    <row r="31" spans="1:20" x14ac:dyDescent="0.2">
      <c r="A31" s="16" t="str">
        <f>VLOOKUP("&lt;Zeilentitel_11&gt;",Uebersetzungen!$B$3:$E$99,Uebersetzungen!$B$2+1,FALSE)</f>
        <v>Tessin</v>
      </c>
      <c r="B31" s="17">
        <v>2782</v>
      </c>
      <c r="C31" s="21">
        <v>11334</v>
      </c>
      <c r="D31" s="9"/>
      <c r="E31" s="16" t="str">
        <f>VLOOKUP("&lt;Zeilentitel_11&gt;",Uebersetzungen!$B$3:$E$99,Uebersetzungen!$B$2+1,FALSE)</f>
        <v>Tessin</v>
      </c>
      <c r="F31" s="17">
        <v>98402.352499999994</v>
      </c>
      <c r="G31" s="21">
        <v>65968.749400000001</v>
      </c>
      <c r="H31" s="21">
        <v>32433.6031</v>
      </c>
      <c r="I31" s="21">
        <v>381345.49680000002</v>
      </c>
      <c r="J31" s="21">
        <v>183922.14509999999</v>
      </c>
      <c r="K31" s="33">
        <v>565267.64190000005</v>
      </c>
      <c r="L31" s="9"/>
      <c r="M31" s="9"/>
      <c r="N31" s="16" t="str">
        <f>VLOOKUP("&lt;Zeilentitel_11&gt;",Uebersetzungen!$B$3:$E$99,Uebersetzungen!$B$2+1,FALSE)</f>
        <v>Tessin</v>
      </c>
      <c r="O31" s="47">
        <v>2.6141999999999999E-2</v>
      </c>
      <c r="P31" s="48">
        <v>2.4E-2</v>
      </c>
      <c r="Q31" s="48">
        <v>4.1835999999999998E-2</v>
      </c>
      <c r="R31" s="48">
        <v>2.0166E-2</v>
      </c>
      <c r="S31" s="48">
        <v>3.1335000000000002E-2</v>
      </c>
      <c r="T31" s="49">
        <v>2.0746000000000001E-2</v>
      </c>
    </row>
    <row r="32" spans="1:20" x14ac:dyDescent="0.2">
      <c r="A32" s="18" t="str">
        <f>VLOOKUP("&lt;Zeilentitel_12&gt;",Uebersetzungen!$B$3:$E$99,Uebersetzungen!$B$2+1,FALSE)</f>
        <v>Wallis</v>
      </c>
      <c r="B32" s="19">
        <v>11863</v>
      </c>
      <c r="C32" s="22">
        <v>60141</v>
      </c>
      <c r="D32" s="9"/>
      <c r="E32" s="18" t="str">
        <f>VLOOKUP("&lt;Zeilentitel_12&gt;",Uebersetzungen!$B$3:$E$99,Uebersetzungen!$B$2+1,FALSE)</f>
        <v>Wallis</v>
      </c>
      <c r="F32" s="19">
        <v>393795.62280000001</v>
      </c>
      <c r="G32" s="22">
        <v>242540.46170000001</v>
      </c>
      <c r="H32" s="22">
        <v>151255.1611</v>
      </c>
      <c r="I32" s="22">
        <v>1526210.6784000001</v>
      </c>
      <c r="J32" s="22">
        <v>998238.85279999999</v>
      </c>
      <c r="K32" s="34">
        <v>2524449.5312000001</v>
      </c>
      <c r="L32" s="9"/>
      <c r="M32" s="9"/>
      <c r="N32" s="18" t="str">
        <f>VLOOKUP("&lt;Zeilentitel_12&gt;",Uebersetzungen!$B$3:$E$99,Uebersetzungen!$B$2+1,FALSE)</f>
        <v>Wallis</v>
      </c>
      <c r="O32" s="50">
        <v>2.4740999999999999E-2</v>
      </c>
      <c r="P32" s="51">
        <v>2.5711000000000001E-2</v>
      </c>
      <c r="Q32" s="51">
        <v>3.984E-2</v>
      </c>
      <c r="R32" s="51">
        <v>2.4969999999999999E-2</v>
      </c>
      <c r="S32" s="51">
        <v>3.3101999999999999E-2</v>
      </c>
      <c r="T32" s="52">
        <v>2.2387000000000001E-2</v>
      </c>
    </row>
    <row r="34" spans="1:20" x14ac:dyDescent="0.2"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1:20" s="9" customFormat="1" ht="15" x14ac:dyDescent="0.25">
      <c r="A35" s="107" t="str">
        <f>VLOOKUP("&lt;UTitel7&gt;",Uebersetzungen!$B$3:$E$99,Uebersetzungen!$B$2+1,FALSE)</f>
        <v>Angebot in den Bündner Destinationen, 2023</v>
      </c>
      <c r="B35" s="108"/>
      <c r="C35" s="108"/>
      <c r="D35" s="109"/>
      <c r="E35" s="104"/>
      <c r="F35" s="105"/>
      <c r="G35" s="105"/>
      <c r="H35" s="106"/>
      <c r="I35" s="23"/>
      <c r="J35" s="23"/>
      <c r="K35" s="23"/>
      <c r="L35" s="23"/>
      <c r="M35" s="23"/>
      <c r="N35" s="58"/>
      <c r="O35" s="59"/>
      <c r="P35" s="59"/>
      <c r="Q35" s="59"/>
      <c r="R35" s="23"/>
      <c r="S35" s="23"/>
      <c r="T35" s="23"/>
    </row>
    <row r="36" spans="1:20" s="9" customFormat="1" x14ac:dyDescent="0.2">
      <c r="A36" s="10"/>
      <c r="B36" s="11"/>
      <c r="C36" s="11"/>
      <c r="E36" s="10"/>
      <c r="F36" s="11"/>
      <c r="G36" s="11"/>
      <c r="H36" s="23"/>
      <c r="I36" s="23"/>
      <c r="J36" s="23"/>
      <c r="K36" s="23"/>
      <c r="L36" s="23"/>
      <c r="M36" s="23"/>
      <c r="N36" s="10"/>
      <c r="O36" s="11"/>
      <c r="P36" s="11"/>
      <c r="Q36" s="23"/>
      <c r="R36" s="23"/>
      <c r="S36" s="23"/>
      <c r="T36" s="23"/>
    </row>
    <row r="37" spans="1:20" s="9" customFormat="1" x14ac:dyDescent="0.2">
      <c r="A37" s="25"/>
      <c r="B37" s="96" t="str">
        <f>VLOOKUP("&lt;SpaltenTitel_1&gt;",Uebersetzungen!$B$3:$E$99,Uebersetzungen!$B$2+1,FALSE)</f>
        <v>Angebot</v>
      </c>
      <c r="C37" s="98"/>
      <c r="E37" s="60"/>
      <c r="F37" s="101"/>
      <c r="G37" s="101"/>
      <c r="H37" s="101"/>
      <c r="I37" s="102"/>
      <c r="J37" s="102"/>
      <c r="K37" s="102"/>
      <c r="L37" s="23"/>
      <c r="M37" s="23"/>
      <c r="N37" s="60"/>
      <c r="O37" s="101"/>
      <c r="P37" s="101"/>
      <c r="Q37" s="101"/>
      <c r="R37" s="102"/>
      <c r="S37" s="102"/>
      <c r="T37" s="102"/>
    </row>
    <row r="38" spans="1:20" s="9" customFormat="1" ht="38.25" x14ac:dyDescent="0.2">
      <c r="A38" s="36" t="str">
        <f>VLOOKUP("&lt;SpaltenTitel_4.1&gt;",Uebersetzungen!$B$3:$E$99,Uebersetzungen!$B$2+1,FALSE)</f>
        <v>Destinationen</v>
      </c>
      <c r="B38" s="28" t="str">
        <f>VLOOKUP("&lt;SpaltenTitel_1.2&gt;",Uebersetzungen!$B$3:$E$99,Uebersetzungen!$B$2+1,FALSE)</f>
        <v>Erfasste Ferienwohnungen</v>
      </c>
      <c r="C38" s="28" t="str">
        <f>VLOOKUP("&lt;SpaltenTitel_2.1&gt;",Uebersetzungen!$B$3:$E$99,Uebersetzungen!$B$2+1,FALSE)</f>
        <v>Vorhandene Betten</v>
      </c>
      <c r="E38" s="61"/>
      <c r="F38" s="62"/>
      <c r="G38" s="62"/>
      <c r="H38" s="62"/>
      <c r="I38" s="62"/>
      <c r="J38" s="62"/>
      <c r="K38" s="62"/>
      <c r="L38" s="23"/>
      <c r="M38" s="23"/>
      <c r="N38" s="61"/>
      <c r="O38" s="62"/>
      <c r="P38" s="62"/>
      <c r="Q38" s="62"/>
      <c r="R38" s="62"/>
      <c r="S38" s="62"/>
      <c r="T38" s="62"/>
    </row>
    <row r="39" spans="1:20" x14ac:dyDescent="0.2">
      <c r="A39" s="39" t="str">
        <f>VLOOKUP("&lt;Zeilentitel_13&gt;",Uebersetzungen!$B$3:$E$99,Uebersetzungen!$B$2+1,FALSE)</f>
        <v>Graubünden</v>
      </c>
      <c r="B39" s="54">
        <v>6645</v>
      </c>
      <c r="C39" s="55">
        <v>31015</v>
      </c>
      <c r="E39" s="63"/>
      <c r="F39" s="64"/>
      <c r="G39" s="64"/>
      <c r="H39" s="64"/>
      <c r="I39" s="64"/>
      <c r="J39" s="64"/>
      <c r="K39" s="64"/>
      <c r="L39" s="23"/>
      <c r="M39" s="23"/>
      <c r="N39" s="63"/>
      <c r="O39" s="65"/>
      <c r="P39" s="65"/>
      <c r="Q39" s="65"/>
      <c r="R39" s="65"/>
      <c r="S39" s="65"/>
      <c r="T39" s="65"/>
    </row>
    <row r="40" spans="1:20" x14ac:dyDescent="0.2">
      <c r="A40" s="16" t="str">
        <f>VLOOKUP("&lt;Zeilentitel_14&gt;",Uebersetzungen!$B$3:$E$99,Uebersetzungen!$B$2+1,FALSE)</f>
        <v>Arosa</v>
      </c>
      <c r="B40" s="17">
        <v>489</v>
      </c>
      <c r="C40" s="21">
        <v>2205</v>
      </c>
      <c r="E40" s="23"/>
      <c r="F40" s="24"/>
      <c r="G40" s="24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1:20" s="9" customFormat="1" x14ac:dyDescent="0.2">
      <c r="A41" s="16" t="str">
        <f>VLOOKUP("&lt;Zeilentitel_15&gt;",Uebersetzungen!$B$3:$E$99,Uebersetzungen!$B$2+1,FALSE)</f>
        <v>Bergün Filisur</v>
      </c>
      <c r="B41" s="17">
        <v>83</v>
      </c>
      <c r="C41" s="21">
        <v>445</v>
      </c>
      <c r="E41" s="23"/>
      <c r="F41" s="24"/>
      <c r="G41" s="24"/>
      <c r="H41" s="23"/>
      <c r="I41" s="23"/>
    </row>
    <row r="42" spans="1:20" s="9" customFormat="1" x14ac:dyDescent="0.2">
      <c r="A42" s="16" t="str">
        <f>VLOOKUP("&lt;Zeilentitel_16&gt;",Uebersetzungen!$B$3:$E$99,Uebersetzungen!$B$2+1,FALSE)</f>
        <v>Bregaglia Engadin</v>
      </c>
      <c r="B42" s="17">
        <v>97</v>
      </c>
      <c r="C42" s="21">
        <v>411</v>
      </c>
      <c r="E42" s="23"/>
      <c r="F42" s="24"/>
      <c r="G42" s="24"/>
      <c r="H42" s="23"/>
      <c r="I42" s="23"/>
      <c r="J42" s="23"/>
    </row>
    <row r="43" spans="1:20" s="9" customFormat="1" x14ac:dyDescent="0.2">
      <c r="A43" s="16" t="str">
        <f>VLOOKUP("&lt;Zeilentitel_17&gt;",Uebersetzungen!$B$3:$E$99,Uebersetzungen!$B$2+1,FALSE)</f>
        <v>Bündner Herrschaft</v>
      </c>
      <c r="B43" s="17">
        <v>10</v>
      </c>
      <c r="C43" s="21">
        <v>42</v>
      </c>
      <c r="E43" s="23"/>
      <c r="F43" s="24"/>
      <c r="G43" s="24"/>
      <c r="H43" s="23"/>
      <c r="I43" s="23"/>
      <c r="J43" s="23"/>
    </row>
    <row r="44" spans="1:20" s="9" customFormat="1" x14ac:dyDescent="0.2">
      <c r="A44" s="16" t="str">
        <f>VLOOKUP("&lt;Zeilentitel_18&gt;",Uebersetzungen!$B$3:$E$99,Uebersetzungen!$B$2+1,FALSE)</f>
        <v>Chur</v>
      </c>
      <c r="B44" s="17">
        <v>11</v>
      </c>
      <c r="C44" s="21">
        <v>50</v>
      </c>
      <c r="E44" s="23"/>
      <c r="F44" s="24"/>
      <c r="G44" s="24"/>
      <c r="H44" s="23"/>
      <c r="I44" s="23"/>
      <c r="J44" s="23"/>
    </row>
    <row r="45" spans="1:20" s="9" customFormat="1" x14ac:dyDescent="0.2">
      <c r="A45" s="16" t="str">
        <f>VLOOKUP("&lt;Zeilentitel_19&gt;",Uebersetzungen!$B$3:$E$99,Uebersetzungen!$B$2+1,FALSE)</f>
        <v>Davos Klosters</v>
      </c>
      <c r="B45" s="17">
        <v>845</v>
      </c>
      <c r="C45" s="21">
        <v>3781</v>
      </c>
      <c r="E45" s="23"/>
      <c r="F45" s="24"/>
      <c r="G45" s="24"/>
      <c r="H45" s="23"/>
      <c r="I45" s="23"/>
    </row>
    <row r="46" spans="1:20" s="9" customFormat="1" x14ac:dyDescent="0.2">
      <c r="A46" s="16" t="str">
        <f>VLOOKUP("&lt;Zeilentitel_20&gt;",Uebersetzungen!$B$3:$E$99,Uebersetzungen!$B$2+1,FALSE)</f>
        <v>Disentis Sedrun</v>
      </c>
      <c r="B46" s="17">
        <v>322</v>
      </c>
      <c r="C46" s="21">
        <v>1773</v>
      </c>
      <c r="E46" s="23"/>
      <c r="F46" s="24"/>
      <c r="G46" s="24"/>
      <c r="H46" s="23"/>
      <c r="I46" s="23"/>
    </row>
    <row r="47" spans="1:20" s="9" customFormat="1" x14ac:dyDescent="0.2">
      <c r="A47" s="16" t="str">
        <f>VLOOKUP("&lt;Zeilentitel_21&gt;",Uebersetzungen!$B$3:$E$99,Uebersetzungen!$B$2+1,FALSE)</f>
        <v>Engadin Scuol Samnaun</v>
      </c>
      <c r="B47" s="17">
        <v>1032</v>
      </c>
      <c r="C47" s="21">
        <v>4716</v>
      </c>
      <c r="E47" s="23"/>
      <c r="F47" s="24"/>
      <c r="G47" s="24"/>
      <c r="H47" s="23"/>
      <c r="I47" s="23"/>
    </row>
    <row r="48" spans="1:20" s="9" customFormat="1" x14ac:dyDescent="0.2">
      <c r="A48" s="16" t="str">
        <f>VLOOKUP("&lt;Zeilentitel_22&gt;",Uebersetzungen!$B$3:$E$99,Uebersetzungen!$B$2+1,FALSE)</f>
        <v>Engadin St. Moritz</v>
      </c>
      <c r="B48" s="17">
        <v>1576</v>
      </c>
      <c r="C48" s="21">
        <v>6504</v>
      </c>
      <c r="E48" s="23"/>
      <c r="F48" s="24"/>
      <c r="G48" s="24"/>
      <c r="H48" s="23"/>
      <c r="I48" s="23"/>
    </row>
    <row r="49" spans="1:9" s="9" customFormat="1" x14ac:dyDescent="0.2">
      <c r="A49" s="16" t="str">
        <f>VLOOKUP("&lt;Zeilentitel_23&gt;",Uebersetzungen!$B$3:$E$99,Uebersetzungen!$B$2+1,FALSE)</f>
        <v>Flims Laax</v>
      </c>
      <c r="B49" s="17">
        <v>270</v>
      </c>
      <c r="C49" s="21">
        <v>1338</v>
      </c>
      <c r="E49" s="23"/>
      <c r="F49" s="24"/>
      <c r="G49" s="24"/>
      <c r="H49" s="23"/>
      <c r="I49" s="23"/>
    </row>
    <row r="50" spans="1:9" s="9" customFormat="1" x14ac:dyDescent="0.2">
      <c r="A50" s="16" t="str">
        <f>VLOOKUP("&lt;Zeilentitel_24&gt;",Uebersetzungen!$B$3:$E$99,Uebersetzungen!$B$2+1,FALSE)</f>
        <v>Lenzerheide</v>
      </c>
      <c r="B50" s="17">
        <v>674</v>
      </c>
      <c r="C50" s="21">
        <v>3223</v>
      </c>
      <c r="E50" s="23"/>
      <c r="F50" s="24"/>
      <c r="G50" s="24"/>
      <c r="H50" s="23"/>
      <c r="I50" s="23"/>
    </row>
    <row r="51" spans="1:9" s="9" customFormat="1" x14ac:dyDescent="0.2">
      <c r="A51" s="16" t="str">
        <f>VLOOKUP("&lt;Zeilentitel_25&gt;",Uebersetzungen!$B$3:$E$99,Uebersetzungen!$B$2+1,FALSE)</f>
        <v>Prättigau</v>
      </c>
      <c r="B51" s="17">
        <v>69</v>
      </c>
      <c r="C51" s="21">
        <v>363</v>
      </c>
      <c r="E51" s="23"/>
      <c r="F51" s="24"/>
      <c r="G51" s="24"/>
      <c r="H51" s="24"/>
      <c r="I51" s="23"/>
    </row>
    <row r="52" spans="1:9" s="9" customFormat="1" x14ac:dyDescent="0.2">
      <c r="A52" s="16" t="str">
        <f>VLOOKUP("&lt;Zeilentitel_26&gt;",Uebersetzungen!$B$3:$E$99,Uebersetzungen!$B$2+1,FALSE)</f>
        <v>San Bernardino, Mesolcina / Calanca</v>
      </c>
      <c r="B52" s="17">
        <v>25</v>
      </c>
      <c r="C52" s="21">
        <v>124</v>
      </c>
      <c r="E52" s="23"/>
      <c r="F52" s="24"/>
      <c r="G52" s="24"/>
      <c r="H52" s="23"/>
      <c r="I52" s="23"/>
    </row>
    <row r="53" spans="1:9" s="9" customFormat="1" x14ac:dyDescent="0.2">
      <c r="A53" s="16" t="str">
        <f>VLOOKUP("&lt;Zeilentitel_27&gt;",Uebersetzungen!$B$3:$E$99,Uebersetzungen!$B$2+1,FALSE)</f>
        <v>Val Surses (inkl. Gde Albula/Alvra)</v>
      </c>
      <c r="B53" s="17">
        <v>301</v>
      </c>
      <c r="C53" s="21">
        <v>1585</v>
      </c>
      <c r="E53" s="23"/>
      <c r="F53" s="24"/>
      <c r="G53" s="24"/>
      <c r="H53" s="23"/>
      <c r="I53" s="23"/>
    </row>
    <row r="54" spans="1:9" s="9" customFormat="1" x14ac:dyDescent="0.2">
      <c r="A54" s="16" t="str">
        <f>VLOOKUP("&lt;Zeilentitel_28&gt;",Uebersetzungen!$B$3:$E$99,Uebersetzungen!$B$2+1,FALSE)</f>
        <v>Surselva</v>
      </c>
      <c r="B54" s="17">
        <v>503</v>
      </c>
      <c r="C54" s="21">
        <v>2736</v>
      </c>
      <c r="E54" s="23"/>
      <c r="F54" s="24"/>
      <c r="G54" s="24"/>
      <c r="H54" s="23"/>
      <c r="I54" s="23"/>
    </row>
    <row r="55" spans="1:9" s="9" customFormat="1" x14ac:dyDescent="0.2">
      <c r="A55" s="16" t="str">
        <f>VLOOKUP("&lt;Zeilentitel_29&gt;",Uebersetzungen!$B$3:$E$99,Uebersetzungen!$B$2+1,FALSE)</f>
        <v>Valposchiavo</v>
      </c>
      <c r="B55" s="17">
        <v>52</v>
      </c>
      <c r="C55" s="21">
        <v>244</v>
      </c>
      <c r="E55" s="23"/>
      <c r="F55" s="24"/>
      <c r="G55" s="24"/>
      <c r="H55" s="23"/>
      <c r="I55" s="23"/>
    </row>
    <row r="56" spans="1:9" s="9" customFormat="1" x14ac:dyDescent="0.2">
      <c r="A56" s="16" t="str">
        <f>VLOOKUP("&lt;Zeilentitel_30&gt;",Uebersetzungen!$B$3:$E$99,Uebersetzungen!$B$2+1,FALSE)</f>
        <v>Vals</v>
      </c>
      <c r="B56" s="17">
        <v>74</v>
      </c>
      <c r="C56" s="21">
        <v>298</v>
      </c>
      <c r="E56" s="23"/>
      <c r="F56" s="24"/>
      <c r="G56" s="24"/>
      <c r="H56" s="23"/>
      <c r="I56" s="23"/>
    </row>
    <row r="57" spans="1:9" s="9" customFormat="1" x14ac:dyDescent="0.2">
      <c r="A57" s="18" t="str">
        <f>VLOOKUP("&lt;Zeilentitel_31&gt;",Uebersetzungen!$B$3:$E$99,Uebersetzungen!$B$2+1,FALSE)</f>
        <v>Viamala</v>
      </c>
      <c r="B57" s="17">
        <v>212</v>
      </c>
      <c r="C57" s="22">
        <v>1177</v>
      </c>
      <c r="E57" s="23"/>
      <c r="F57" s="24"/>
      <c r="G57" s="24"/>
      <c r="H57" s="23"/>
      <c r="I57" s="23"/>
    </row>
    <row r="58" spans="1:9" s="9" customFormat="1" x14ac:dyDescent="0.2">
      <c r="B58" s="26"/>
    </row>
    <row r="59" spans="1:9" s="23" customFormat="1" x14ac:dyDescent="0.2">
      <c r="A59" s="23" t="str">
        <f>VLOOKUP("&lt;Legende_1&gt;",Uebersetzungen!$B$3:$E$99,Uebersetzungen!$B$2+1,FALSE)</f>
        <v>(1) Unter kommerziell bewirtschafteten Ferienwohnungen sind Wohnungen zu verstehen, die über eine Vertriebsorganisation (z.B. Tourismusorganisation, Buchungsplattform, etc.) zur touristischen Nutzung (kurzzeitige Beherbergung) angeboten werden.</v>
      </c>
      <c r="B59" s="11"/>
      <c r="C59" s="11"/>
      <c r="D59" s="27"/>
    </row>
    <row r="60" spans="1:9" s="6" customFormat="1" ht="12.75" customHeight="1" x14ac:dyDescent="0.25">
      <c r="A60" s="10" t="str">
        <f>VLOOKUP("&lt;Legende_4&gt;",Uebersetzungen!$B$3:$E$99,Uebersetzungen!$B$2+1,FALSE)</f>
        <v>(keine Unterteilung von Gemeinden)</v>
      </c>
      <c r="B60" s="11"/>
      <c r="C60" s="11"/>
      <c r="D60" s="27"/>
    </row>
    <row r="61" spans="1:9" s="6" customFormat="1" ht="12.75" customHeight="1" x14ac:dyDescent="0.25">
      <c r="A61" s="10"/>
      <c r="B61" s="11"/>
      <c r="C61" s="11"/>
      <c r="D61" s="27"/>
    </row>
    <row r="62" spans="1:9" s="23" customFormat="1" x14ac:dyDescent="0.2">
      <c r="A62" s="12" t="str">
        <f>VLOOKUP("&lt;Quelle_1&gt;",Uebersetzungen!$B$3:$E$99,Uebersetzungen!$B$2+1,FALSE)</f>
        <v>Quelle: BFS (PASTA)</v>
      </c>
    </row>
    <row r="63" spans="1:9" x14ac:dyDescent="0.2">
      <c r="A63" s="5" t="str">
        <f>VLOOKUP("&lt;Aktualisierung&gt;",Uebersetzungen!$B$3:$E$99,Uebersetzungen!$B$2+1,FALSE)</f>
        <v>Letztmals aktualisiert am: 09.07.2024</v>
      </c>
    </row>
  </sheetData>
  <sheetProtection sheet="1" objects="1" scenarios="1"/>
  <mergeCells count="23">
    <mergeCell ref="B2:E2"/>
    <mergeCell ref="B3:E3"/>
    <mergeCell ref="B4:E4"/>
    <mergeCell ref="A11:D11"/>
    <mergeCell ref="B13:C13"/>
    <mergeCell ref="I27:K27"/>
    <mergeCell ref="A7:D7"/>
    <mergeCell ref="I13:K13"/>
    <mergeCell ref="F37:H37"/>
    <mergeCell ref="I37:K37"/>
    <mergeCell ref="B37:C37"/>
    <mergeCell ref="E35:H35"/>
    <mergeCell ref="F13:H13"/>
    <mergeCell ref="A35:D35"/>
    <mergeCell ref="A25:D25"/>
    <mergeCell ref="B27:C27"/>
    <mergeCell ref="F27:H27"/>
    <mergeCell ref="O27:Q27"/>
    <mergeCell ref="R27:T27"/>
    <mergeCell ref="O13:Q13"/>
    <mergeCell ref="R13:T13"/>
    <mergeCell ref="O37:Q37"/>
    <mergeCell ref="R37:T37"/>
  </mergeCells>
  <pageMargins left="0.7" right="0.7" top="0.78740157499999996" bottom="0.78740157499999996" header="0.3" footer="0.3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76" r:id="rId4" name="Option Button 728">
              <controlPr defaultSize="0" autoFill="0" autoLine="0" autoPict="0">
                <anchor moveWithCells="1">
                  <from>
                    <xdr:col>5</xdr:col>
                    <xdr:colOff>9525</xdr:colOff>
                    <xdr:row>1</xdr:row>
                    <xdr:rowOff>133350</xdr:rowOff>
                  </from>
                  <to>
                    <xdr:col>6</xdr:col>
                    <xdr:colOff>228600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" r:id="rId5" name="Option Button 729">
              <controlPr defaultSize="0" autoFill="0" autoLine="0" autoPict="0">
                <anchor moveWithCells="1">
                  <from>
                    <xdr:col>5</xdr:col>
                    <xdr:colOff>9525</xdr:colOff>
                    <xdr:row>2</xdr:row>
                    <xdr:rowOff>123825</xdr:rowOff>
                  </from>
                  <to>
                    <xdr:col>6</xdr:col>
                    <xdr:colOff>590550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" r:id="rId6" name="Option Button 730">
              <controlPr defaultSize="0" autoFill="0" autoLine="0" autoPict="0">
                <anchor moveWithCells="1">
                  <from>
                    <xdr:col>5</xdr:col>
                    <xdr:colOff>9525</xdr:colOff>
                    <xdr:row>3</xdr:row>
                    <xdr:rowOff>85725</xdr:rowOff>
                  </from>
                  <to>
                    <xdr:col>6</xdr:col>
                    <xdr:colOff>228600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3"/>
  <sheetViews>
    <sheetView workbookViewId="0"/>
  </sheetViews>
  <sheetFormatPr baseColWidth="10" defaultRowHeight="12.75" x14ac:dyDescent="0.2"/>
  <cols>
    <col min="1" max="1" width="32" style="9" customWidth="1"/>
    <col min="2" max="2" width="14.140625" style="9" bestFit="1" customWidth="1"/>
    <col min="3" max="3" width="17.28515625" style="9" customWidth="1"/>
    <col min="4" max="4" width="2" style="9" customWidth="1"/>
    <col min="5" max="5" width="16.5703125" style="9" customWidth="1"/>
    <col min="6" max="6" width="12.42578125" style="9" bestFit="1" customWidth="1"/>
    <col min="7" max="7" width="14.28515625" style="9" bestFit="1" customWidth="1"/>
    <col min="8" max="8" width="10" style="9" bestFit="1" customWidth="1"/>
    <col min="9" max="9" width="12.28515625" style="9" bestFit="1" customWidth="1"/>
    <col min="10" max="10" width="14.28515625" style="9" bestFit="1" customWidth="1"/>
    <col min="11" max="11" width="10" style="9" bestFit="1" customWidth="1"/>
    <col min="12" max="12" width="2.140625" style="9" customWidth="1"/>
    <col min="13" max="13" width="11.42578125" style="9" hidden="1" customWidth="1"/>
    <col min="14" max="14" width="15.5703125" style="9" customWidth="1"/>
    <col min="15" max="15" width="12.42578125" style="9" bestFit="1" customWidth="1"/>
    <col min="16" max="16" width="14.28515625" style="9" bestFit="1" customWidth="1"/>
    <col min="17" max="17" width="10" style="9" bestFit="1" customWidth="1"/>
    <col min="18" max="18" width="12.42578125" style="9" bestFit="1" customWidth="1"/>
    <col min="19" max="19" width="14.28515625" style="9" bestFit="1" customWidth="1"/>
    <col min="20" max="20" width="10" style="9" bestFit="1" customWidth="1"/>
    <col min="21" max="16384" width="11.42578125" style="9"/>
  </cols>
  <sheetData>
    <row r="1" spans="1:20" s="1" customFormat="1" x14ac:dyDescent="0.2">
      <c r="A1" s="2"/>
      <c r="B1" s="2"/>
      <c r="C1" s="2"/>
      <c r="D1" s="2"/>
      <c r="E1" s="2"/>
    </row>
    <row r="2" spans="1:20" s="1" customFormat="1" ht="15.75" x14ac:dyDescent="0.25">
      <c r="A2" s="2"/>
      <c r="B2" s="114"/>
      <c r="C2" s="115"/>
      <c r="D2" s="115"/>
      <c r="E2" s="115"/>
    </row>
    <row r="3" spans="1:20" s="1" customFormat="1" ht="15.75" x14ac:dyDescent="0.25">
      <c r="A3" s="2"/>
      <c r="B3" s="114"/>
      <c r="C3" s="115"/>
      <c r="D3" s="115"/>
      <c r="E3" s="115"/>
    </row>
    <row r="4" spans="1:20" s="1" customFormat="1" ht="15.75" x14ac:dyDescent="0.25">
      <c r="A4" s="2"/>
      <c r="B4" s="114"/>
      <c r="C4" s="115"/>
      <c r="D4" s="115"/>
      <c r="E4" s="115"/>
    </row>
    <row r="5" spans="1:20" s="1" customFormat="1" x14ac:dyDescent="0.2">
      <c r="A5" s="2"/>
      <c r="B5" s="2"/>
      <c r="C5" s="2"/>
      <c r="D5" s="2"/>
      <c r="E5" s="2"/>
      <c r="F5" s="2"/>
      <c r="G5" s="2"/>
      <c r="H5" s="2"/>
    </row>
    <row r="6" spans="1:20" s="1" customFormat="1" ht="6" customHeight="1" x14ac:dyDescent="0.2">
      <c r="A6" s="2"/>
      <c r="B6" s="2"/>
      <c r="C6" s="2"/>
      <c r="D6" s="2"/>
      <c r="E6" s="2"/>
      <c r="F6" s="2"/>
      <c r="G6" s="2"/>
      <c r="H6" s="2"/>
    </row>
    <row r="7" spans="1:20" s="2" customFormat="1" ht="15.75" x14ac:dyDescent="0.2">
      <c r="A7" s="103" t="str">
        <f>VLOOKUP("&lt;Fachbereich&gt;",Uebersetzungen!$B$3:$E$31,Uebersetzungen!$B$2+1,FALSE)</f>
        <v>Daten &amp; Statistik</v>
      </c>
      <c r="B7" s="103"/>
      <c r="C7" s="103"/>
      <c r="D7" s="103"/>
      <c r="E7" s="3"/>
      <c r="F7" s="3"/>
      <c r="G7" s="3"/>
      <c r="H7" s="3"/>
    </row>
    <row r="8" spans="1:20" s="2" customFormat="1" ht="15.75" x14ac:dyDescent="0.2">
      <c r="A8" s="13"/>
      <c r="B8" s="13"/>
      <c r="C8" s="13"/>
      <c r="D8" s="13"/>
      <c r="E8" s="3"/>
      <c r="F8" s="3"/>
      <c r="G8" s="3"/>
      <c r="H8" s="3"/>
    </row>
    <row r="9" spans="1:20" s="2" customFormat="1" ht="27" customHeight="1" x14ac:dyDescent="0.2">
      <c r="A9" s="95" t="str">
        <f>VLOOKUP("&lt;T2Titel&gt;",Uebersetzungen!$B$3:$E$300,Uebersetzungen!$B$2+1,FALSE)</f>
        <v>Parahotelleriestatistik: Kollektivunterkünfte(1) - Angebot und Nachfrage 2023</v>
      </c>
      <c r="B9" s="95"/>
      <c r="C9" s="95"/>
      <c r="D9" s="95"/>
      <c r="E9" s="95"/>
      <c r="F9" s="95"/>
      <c r="G9" s="95"/>
      <c r="H9" s="95"/>
    </row>
    <row r="10" spans="1:20" s="2" customFormat="1" ht="15.75" x14ac:dyDescent="0.2">
      <c r="A10" s="13"/>
      <c r="B10" s="13"/>
      <c r="C10" s="13"/>
      <c r="D10" s="13"/>
      <c r="E10" s="3"/>
      <c r="F10" s="3"/>
      <c r="G10" s="3"/>
      <c r="H10" s="3"/>
    </row>
    <row r="11" spans="1:20" s="8" customFormat="1" ht="15.75" x14ac:dyDescent="0.25">
      <c r="A11" s="107" t="str">
        <f>VLOOKUP("&lt;T2UTitel1&gt;",Uebersetzungen!$B$3:$E$99,Uebersetzungen!$B$2+1,FALSE)</f>
        <v>Angebot in der Schweiz und den Grossregionen, 2023</v>
      </c>
      <c r="B11" s="110"/>
      <c r="C11" s="110"/>
      <c r="D11" s="111"/>
      <c r="E11" s="42" t="str">
        <f>VLOOKUP("&lt;T2UTitel2&gt;",Uebersetzungen!$B$3:$E$99,Uebersetzungen!$B$2+1,FALSE)</f>
        <v>Nachfrage in der Schweiz und den Grossregionen, 2023</v>
      </c>
      <c r="F11" s="35"/>
      <c r="G11" s="35"/>
      <c r="H11" s="35"/>
      <c r="N11" s="42" t="str">
        <f>VLOOKUP("&lt;T2UTitel3&gt;",Uebersetzungen!$B$3:$E$99,Uebersetzungen!$B$2+1,FALSE)</f>
        <v>Variationskoeffizienten der Nachfrage in der Schweiz und den Grossregionen, 2023</v>
      </c>
      <c r="O11" s="35"/>
      <c r="P11" s="35"/>
      <c r="Q11" s="35"/>
    </row>
    <row r="12" spans="1:20" ht="14.25" x14ac:dyDescent="0.2">
      <c r="A12" s="7"/>
      <c r="B12" s="7"/>
      <c r="C12" s="7"/>
      <c r="D12" s="7"/>
      <c r="E12" s="7"/>
      <c r="F12" s="7"/>
      <c r="G12" s="7"/>
      <c r="H12" s="7"/>
      <c r="N12" s="7"/>
      <c r="O12" s="7"/>
      <c r="P12" s="7"/>
      <c r="Q12" s="7"/>
    </row>
    <row r="13" spans="1:20" x14ac:dyDescent="0.2">
      <c r="A13" s="25"/>
      <c r="B13" s="96" t="str">
        <f>VLOOKUP("&lt;SpaltenTitel_1&gt;",Uebersetzungen!$B$3:$E$99,Uebersetzungen!$B$2+1,FALSE)</f>
        <v>Angebot</v>
      </c>
      <c r="C13" s="98"/>
      <c r="E13" s="25"/>
      <c r="F13" s="96" t="str">
        <f>VLOOKUP("&lt;SpaltenTitel_2&gt;",Uebersetzungen!$B$3:$E$99,Uebersetzungen!$B$2+1,FALSE)</f>
        <v>Ankünfte</v>
      </c>
      <c r="G13" s="97"/>
      <c r="H13" s="98"/>
      <c r="I13" s="99" t="str">
        <f>VLOOKUP("&lt;SpaltenTitel_3&gt;",Uebersetzungen!$B$3:$E$99,Uebersetzungen!$B$2+1,FALSE)</f>
        <v>Logiernächte</v>
      </c>
      <c r="J13" s="99"/>
      <c r="K13" s="100"/>
      <c r="N13" s="25"/>
      <c r="O13" s="96" t="str">
        <f>VLOOKUP("&lt;SpaltenTitel_2&gt;",Uebersetzungen!$B$3:$E$99,Uebersetzungen!$B$2+1,FALSE)</f>
        <v>Ankünfte</v>
      </c>
      <c r="P13" s="97"/>
      <c r="Q13" s="98"/>
      <c r="R13" s="99" t="str">
        <f>VLOOKUP("&lt;SpaltenTitel_3&gt;",Uebersetzungen!$B$3:$E$99,Uebersetzungen!$B$2+1,FALSE)</f>
        <v>Logiernächte</v>
      </c>
      <c r="S13" s="99"/>
      <c r="T13" s="100"/>
    </row>
    <row r="14" spans="1:20" ht="25.5" x14ac:dyDescent="0.2">
      <c r="A14" s="36" t="str">
        <f>VLOOKUP("&lt;SpaltenTitel_1.1&gt;",Uebersetzungen!$B$3:$E$99,Uebersetzungen!$B$2+1,FALSE)</f>
        <v>Grossregion</v>
      </c>
      <c r="B14" s="28" t="str">
        <f>VLOOKUP("&lt;T2Zeilentitel_1&gt;",Uebersetzungen!$B$3:$E$99,Uebersetzungen!$B$2+1,FALSE)</f>
        <v>Erfasste Betriebe</v>
      </c>
      <c r="C14" s="28" t="str">
        <f>VLOOKUP("&lt;SpaltenTitel_2.1&gt;",Uebersetzungen!$B$3:$E$99,Uebersetzungen!$B$2+1,FALSE)</f>
        <v>Vorhandene Betten</v>
      </c>
      <c r="E14" s="36" t="str">
        <f>VLOOKUP("&lt;SpaltenTitel_2.2&gt;",Uebersetzungen!$B$3:$E$99,Uebersetzungen!$B$2+1,FALSE)</f>
        <v>Grossregion</v>
      </c>
      <c r="F14" s="37" t="str">
        <f>VLOOKUP("&lt;SpaltenTitel_2.3&gt;",Uebersetzungen!$B$3:$E$99,Uebersetzungen!$B$2+1,FALSE)</f>
        <v>Inländer/innen</v>
      </c>
      <c r="G14" s="37" t="str">
        <f>VLOOKUP("&lt;SpaltenTitel_2.4&gt;",Uebersetzungen!$B$3:$E$99,Uebersetzungen!$B$2+1,FALSE)</f>
        <v>Ausländer/innen</v>
      </c>
      <c r="H14" s="37" t="str">
        <f>VLOOKUP("&lt;SpaltenTitel_2.5&gt;",Uebersetzungen!$B$3:$E$99,Uebersetzungen!$B$2+1,FALSE)</f>
        <v>Total</v>
      </c>
      <c r="I14" s="37" t="str">
        <f>VLOOKUP("&lt;SpaltenTitel_2.6&gt;",Uebersetzungen!$B$3:$E$99,Uebersetzungen!$B$2+1,FALSE)</f>
        <v>Inländer/innen</v>
      </c>
      <c r="J14" s="37" t="str">
        <f>VLOOKUP("&lt;SpaltenTitel_2.7&gt;",Uebersetzungen!$B$3:$E$99,Uebersetzungen!$B$2+1,FALSE)</f>
        <v>Ausländer/innen</v>
      </c>
      <c r="K14" s="38" t="str">
        <f>VLOOKUP("&lt;SpaltenTitel_2.8&gt;",Uebersetzungen!$B$3:$E$99,Uebersetzungen!$B$2+1,FALSE)</f>
        <v>Total</v>
      </c>
      <c r="N14" s="36" t="str">
        <f>VLOOKUP("&lt;SpaltenTitel_2.2&gt;",Uebersetzungen!$B$3:$E$99,Uebersetzungen!$B$2+1,FALSE)</f>
        <v>Grossregion</v>
      </c>
      <c r="O14" s="37" t="str">
        <f>VLOOKUP("&lt;SpaltenTitel_2.3&gt;",Uebersetzungen!$B$3:$E$99,Uebersetzungen!$B$2+1,FALSE)</f>
        <v>Inländer/innen</v>
      </c>
      <c r="P14" s="37" t="str">
        <f>VLOOKUP("&lt;SpaltenTitel_2.4&gt;",Uebersetzungen!$B$3:$E$99,Uebersetzungen!$B$2+1,FALSE)</f>
        <v>Ausländer/innen</v>
      </c>
      <c r="Q14" s="37" t="str">
        <f>VLOOKUP("&lt;SpaltenTitel_2.5&gt;",Uebersetzungen!$B$3:$E$99,Uebersetzungen!$B$2+1,FALSE)</f>
        <v>Total</v>
      </c>
      <c r="R14" s="37" t="str">
        <f>VLOOKUP("&lt;SpaltenTitel_2.6&gt;",Uebersetzungen!$B$3:$E$99,Uebersetzungen!$B$2+1,FALSE)</f>
        <v>Inländer/innen</v>
      </c>
      <c r="S14" s="37" t="str">
        <f>VLOOKUP("&lt;SpaltenTitel_2.7&gt;",Uebersetzungen!$B$3:$E$99,Uebersetzungen!$B$2+1,FALSE)</f>
        <v>Ausländer/innen</v>
      </c>
      <c r="T14" s="38" t="str">
        <f>VLOOKUP("&lt;SpaltenTitel_2.8&gt;",Uebersetzungen!$B$3:$E$99,Uebersetzungen!$B$2+1,FALSE)</f>
        <v>Total</v>
      </c>
    </row>
    <row r="15" spans="1:20" x14ac:dyDescent="0.2">
      <c r="A15" s="14" t="str">
        <f>VLOOKUP("&lt;Zeilentitel_1&gt;",Uebersetzungen!$B$3:$E$99,Uebersetzungen!$B$2+1,FALSE)</f>
        <v>Schweiz</v>
      </c>
      <c r="B15" s="15">
        <v>2190</v>
      </c>
      <c r="C15" s="20">
        <v>104671</v>
      </c>
      <c r="E15" s="14" t="str">
        <f>VLOOKUP("&lt;Zeilentitel_1&gt;",Uebersetzungen!$B$3:$E$99,Uebersetzungen!$B$2+1,FALSE)</f>
        <v>Schweiz</v>
      </c>
      <c r="F15" s="29">
        <v>1759994.6069</v>
      </c>
      <c r="G15" s="30">
        <v>452371.96519999992</v>
      </c>
      <c r="H15" s="31">
        <v>2212366.5721</v>
      </c>
      <c r="I15" s="31">
        <v>4387301.2236000001</v>
      </c>
      <c r="J15" s="31">
        <v>1037938.7025</v>
      </c>
      <c r="K15" s="32">
        <v>5425239.9262999995</v>
      </c>
      <c r="N15" s="14" t="str">
        <f>VLOOKUP("&lt;Zeilentitel_1&gt;",Uebersetzungen!$B$3:$E$99,Uebersetzungen!$B$2+1,FALSE)</f>
        <v>Schweiz</v>
      </c>
      <c r="O15" s="43">
        <v>1.6298E-2</v>
      </c>
      <c r="P15" s="44">
        <v>4.0585000000000003E-2</v>
      </c>
      <c r="Q15" s="45">
        <v>1.6067000000000001E-2</v>
      </c>
      <c r="R15" s="45">
        <v>1.4628E-2</v>
      </c>
      <c r="S15" s="45">
        <v>3.9049E-2</v>
      </c>
      <c r="T15" s="46">
        <v>1.3896E-2</v>
      </c>
    </row>
    <row r="16" spans="1:20" x14ac:dyDescent="0.2">
      <c r="A16" s="16" t="str">
        <f>VLOOKUP("&lt;Zeilentitel_2&gt;",Uebersetzungen!$B$3:$E$99,Uebersetzungen!$B$2+1,FALSE)</f>
        <v>Genferseeregion</v>
      </c>
      <c r="B16" s="17">
        <v>514</v>
      </c>
      <c r="C16" s="21">
        <v>25202</v>
      </c>
      <c r="E16" s="16" t="str">
        <f>VLOOKUP("&lt;Zeilentitel_2&gt;",Uebersetzungen!$B$3:$E$99,Uebersetzungen!$B$2+1,FALSE)</f>
        <v>Genferseeregion</v>
      </c>
      <c r="F16" s="17">
        <v>410429.62339999998</v>
      </c>
      <c r="G16" s="21">
        <v>147054.66039999999</v>
      </c>
      <c r="H16" s="21">
        <v>557484.28379999998</v>
      </c>
      <c r="I16" s="21">
        <v>972186.94799999997</v>
      </c>
      <c r="J16" s="21">
        <v>324218.81920000003</v>
      </c>
      <c r="K16" s="33">
        <v>1296405.7671999999</v>
      </c>
      <c r="N16" s="16" t="str">
        <f>VLOOKUP("&lt;Zeilentitel_2&gt;",Uebersetzungen!$B$3:$E$99,Uebersetzungen!$B$2+1,FALSE)</f>
        <v>Genferseeregion</v>
      </c>
      <c r="O16" s="47">
        <v>3.5596999999999997E-2</v>
      </c>
      <c r="P16" s="48">
        <v>3.4111000000000002E-2</v>
      </c>
      <c r="Q16" s="48">
        <v>3.2705999999999999E-2</v>
      </c>
      <c r="R16" s="48">
        <v>2.3290999999999999E-2</v>
      </c>
      <c r="S16" s="48">
        <v>2.5054E-2</v>
      </c>
      <c r="T16" s="49">
        <v>1.9813999999999998E-2</v>
      </c>
    </row>
    <row r="17" spans="1:20" x14ac:dyDescent="0.2">
      <c r="A17" s="16" t="str">
        <f>VLOOKUP("&lt;Zeilentitel_3&gt;",Uebersetzungen!$B$3:$E$99,Uebersetzungen!$B$2+1,FALSE)</f>
        <v>Espace Mittelland</v>
      </c>
      <c r="B17" s="17">
        <v>581</v>
      </c>
      <c r="C17" s="21">
        <v>28238</v>
      </c>
      <c r="E17" s="16" t="str">
        <f>VLOOKUP("&lt;Zeilentitel_3&gt;",Uebersetzungen!$B$3:$E$99,Uebersetzungen!$B$2+1,FALSE)</f>
        <v>Espace Mittelland</v>
      </c>
      <c r="F17" s="17">
        <v>449709.9437</v>
      </c>
      <c r="G17" s="21">
        <v>144899.76430000001</v>
      </c>
      <c r="H17" s="21">
        <v>594609.70799999998</v>
      </c>
      <c r="I17" s="21">
        <v>1081722.5655</v>
      </c>
      <c r="J17" s="21">
        <v>328488.19559999998</v>
      </c>
      <c r="K17" s="33">
        <v>1410210.7612000001</v>
      </c>
      <c r="N17" s="16" t="str">
        <f>VLOOKUP("&lt;Zeilentitel_3&gt;",Uebersetzungen!$B$3:$E$99,Uebersetzungen!$B$2+1,FALSE)</f>
        <v>Espace Mittelland</v>
      </c>
      <c r="O17" s="47">
        <v>3.7190000000000001E-2</v>
      </c>
      <c r="P17" s="48">
        <v>8.3461999999999995E-2</v>
      </c>
      <c r="Q17" s="48">
        <v>3.4772999999999998E-2</v>
      </c>
      <c r="R17" s="48">
        <v>3.5154999999999999E-2</v>
      </c>
      <c r="S17" s="48">
        <v>7.4546000000000001E-2</v>
      </c>
      <c r="T17" s="49">
        <v>3.2821000000000003E-2</v>
      </c>
    </row>
    <row r="18" spans="1:20" x14ac:dyDescent="0.2">
      <c r="A18" s="16" t="str">
        <f>VLOOKUP("&lt;Zeilentitel_4&gt;",Uebersetzungen!$B$3:$E$99,Uebersetzungen!$B$2+1,FALSE)</f>
        <v>Nordwestschweiz</v>
      </c>
      <c r="B18" s="17">
        <v>35</v>
      </c>
      <c r="C18" s="21">
        <v>1621</v>
      </c>
      <c r="E18" s="16" t="str">
        <f>VLOOKUP("&lt;Zeilentitel_4&gt;",Uebersetzungen!$B$3:$E$99,Uebersetzungen!$B$2+1,FALSE)</f>
        <v>Nordwestschweiz</v>
      </c>
      <c r="F18" s="17">
        <v>30607.808400000002</v>
      </c>
      <c r="G18" s="21">
        <v>2087.6169</v>
      </c>
      <c r="H18" s="21">
        <v>32695.425299999999</v>
      </c>
      <c r="I18" s="21">
        <v>77211.915999999997</v>
      </c>
      <c r="J18" s="21">
        <v>5731.5752000000002</v>
      </c>
      <c r="K18" s="33">
        <v>82943.491299999994</v>
      </c>
      <c r="N18" s="16" t="str">
        <f>VLOOKUP("&lt;Zeilentitel_4&gt;",Uebersetzungen!$B$3:$E$99,Uebersetzungen!$B$2+1,FALSE)</f>
        <v>Nordwestschweiz</v>
      </c>
      <c r="O18" s="47">
        <v>9.0229000000000004E-2</v>
      </c>
      <c r="P18" s="48">
        <v>0.22440099999999999</v>
      </c>
      <c r="Q18" s="48">
        <v>9.4493999999999995E-2</v>
      </c>
      <c r="R18" s="48">
        <v>9.4497999999999999E-2</v>
      </c>
      <c r="S18" s="48">
        <v>0.191889</v>
      </c>
      <c r="T18" s="49">
        <v>9.2266000000000001E-2</v>
      </c>
    </row>
    <row r="19" spans="1:20" x14ac:dyDescent="0.2">
      <c r="A19" s="16" t="str">
        <f>VLOOKUP("&lt;Zeilentitel_5&gt;",Uebersetzungen!$B$3:$E$99,Uebersetzungen!$B$2+1,FALSE)</f>
        <v>Zürich</v>
      </c>
      <c r="B19" s="17">
        <v>68</v>
      </c>
      <c r="C19" s="21">
        <v>2669</v>
      </c>
      <c r="E19" s="16" t="str">
        <f>VLOOKUP("&lt;Zeilentitel_5&gt;",Uebersetzungen!$B$3:$E$99,Uebersetzungen!$B$2+1,FALSE)</f>
        <v>Zürich</v>
      </c>
      <c r="F19" s="17">
        <v>50733.838199999998</v>
      </c>
      <c r="G19" s="21">
        <v>2183.0513999999998</v>
      </c>
      <c r="H19" s="21">
        <v>52916.889499999997</v>
      </c>
      <c r="I19" s="21">
        <v>135352.9007</v>
      </c>
      <c r="J19" s="21">
        <v>5267.3735999999999</v>
      </c>
      <c r="K19" s="33">
        <v>140620.27429999999</v>
      </c>
      <c r="N19" s="16" t="str">
        <f>VLOOKUP("&lt;Zeilentitel_5&gt;",Uebersetzungen!$B$3:$E$99,Uebersetzungen!$B$2+1,FALSE)</f>
        <v>Zürich</v>
      </c>
      <c r="O19" s="47">
        <v>5.4858999999999998E-2</v>
      </c>
      <c r="P19" s="48">
        <v>0.212533</v>
      </c>
      <c r="Q19" s="48">
        <v>5.7854999999999997E-2</v>
      </c>
      <c r="R19" s="48">
        <v>5.4736E-2</v>
      </c>
      <c r="S19" s="48">
        <v>0.17865700000000001</v>
      </c>
      <c r="T19" s="49">
        <v>5.5882000000000001E-2</v>
      </c>
    </row>
    <row r="20" spans="1:20" x14ac:dyDescent="0.2">
      <c r="A20" s="16" t="str">
        <f>VLOOKUP("&lt;Zeilentitel_6&gt;",Uebersetzungen!$B$3:$E$99,Uebersetzungen!$B$2+1,FALSE)</f>
        <v>Ostschweiz</v>
      </c>
      <c r="B20" s="17">
        <v>571</v>
      </c>
      <c r="C20" s="21">
        <v>26970</v>
      </c>
      <c r="E20" s="16" t="str">
        <f>VLOOKUP("&lt;Zeilentitel_6&gt;",Uebersetzungen!$B$3:$E$99,Uebersetzungen!$B$2+1,FALSE)</f>
        <v>Ostschweiz</v>
      </c>
      <c r="F20" s="17">
        <v>455417.93459999998</v>
      </c>
      <c r="G20" s="21">
        <v>86275.838699999993</v>
      </c>
      <c r="H20" s="21">
        <v>541693.7733</v>
      </c>
      <c r="I20" s="21">
        <v>1214616.3278999999</v>
      </c>
      <c r="J20" s="21">
        <v>234655.27179999999</v>
      </c>
      <c r="K20" s="33">
        <v>1449271.5996999999</v>
      </c>
      <c r="N20" s="16" t="str">
        <f>VLOOKUP("&lt;Zeilentitel_6&gt;",Uebersetzungen!$B$3:$E$99,Uebersetzungen!$B$2+1,FALSE)</f>
        <v>Ostschweiz</v>
      </c>
      <c r="O20" s="47">
        <v>3.3487999999999997E-2</v>
      </c>
      <c r="P20" s="48">
        <v>8.3465999999999999E-2</v>
      </c>
      <c r="Q20" s="48">
        <v>3.0071000000000001E-2</v>
      </c>
      <c r="R20" s="48">
        <v>3.3994000000000003E-2</v>
      </c>
      <c r="S20" s="48">
        <v>0.10949399999999999</v>
      </c>
      <c r="T20" s="49">
        <v>3.1282999999999998E-2</v>
      </c>
    </row>
    <row r="21" spans="1:20" x14ac:dyDescent="0.2">
      <c r="A21" s="16" t="str">
        <f>VLOOKUP("&lt;Zeilentitel_7&gt;",Uebersetzungen!$B$3:$E$99,Uebersetzungen!$B$2+1,FALSE)</f>
        <v>Zentralschweiz</v>
      </c>
      <c r="B21" s="17">
        <v>249</v>
      </c>
      <c r="C21" s="21">
        <v>12397</v>
      </c>
      <c r="E21" s="16" t="str">
        <f>VLOOKUP("&lt;Zeilentitel_7&gt;",Uebersetzungen!$B$3:$E$99,Uebersetzungen!$B$2+1,FALSE)</f>
        <v>Zentralschweiz</v>
      </c>
      <c r="F21" s="17">
        <v>222548.7205</v>
      </c>
      <c r="G21" s="21">
        <v>54855.727500000001</v>
      </c>
      <c r="H21" s="21">
        <v>277404.44809999998</v>
      </c>
      <c r="I21" s="21">
        <v>494465.29190000001</v>
      </c>
      <c r="J21" s="21">
        <v>113059.33</v>
      </c>
      <c r="K21" s="33">
        <v>607524.62190000003</v>
      </c>
      <c r="N21" s="16" t="str">
        <f>VLOOKUP("&lt;Zeilentitel_7&gt;",Uebersetzungen!$B$3:$E$99,Uebersetzungen!$B$2+1,FALSE)</f>
        <v>Zentralschweiz</v>
      </c>
      <c r="O21" s="47">
        <v>3.0473E-2</v>
      </c>
      <c r="P21" s="48">
        <v>0.192662</v>
      </c>
      <c r="Q21" s="48">
        <v>4.8184999999999999E-2</v>
      </c>
      <c r="R21" s="48">
        <v>2.7490000000000001E-2</v>
      </c>
      <c r="S21" s="48">
        <v>0.156194</v>
      </c>
      <c r="T21" s="49">
        <v>3.8530000000000002E-2</v>
      </c>
    </row>
    <row r="22" spans="1:20" x14ac:dyDescent="0.2">
      <c r="A22" s="18" t="str">
        <f>VLOOKUP("&lt;Zeilentitel_8&gt;",Uebersetzungen!$B$3:$E$99,Uebersetzungen!$B$2+1,FALSE)</f>
        <v>Tessin</v>
      </c>
      <c r="B22" s="19">
        <v>172</v>
      </c>
      <c r="C22" s="22">
        <v>7574</v>
      </c>
      <c r="E22" s="18" t="str">
        <f>VLOOKUP("&lt;Zeilentitel_8&gt;",Uebersetzungen!$B$3:$E$99,Uebersetzungen!$B$2+1,FALSE)</f>
        <v>Tessin</v>
      </c>
      <c r="F22" s="19">
        <v>140546.73809999999</v>
      </c>
      <c r="G22" s="22">
        <v>15015.306</v>
      </c>
      <c r="H22" s="22">
        <v>155562.0441</v>
      </c>
      <c r="I22" s="22">
        <v>411745.27360000001</v>
      </c>
      <c r="J22" s="22">
        <v>26518.1371</v>
      </c>
      <c r="K22" s="34">
        <v>438263.41070000001</v>
      </c>
      <c r="N22" s="18" t="str">
        <f>VLOOKUP("&lt;Zeilentitel_8&gt;",Uebersetzungen!$B$3:$E$99,Uebersetzungen!$B$2+1,FALSE)</f>
        <v>Tessin</v>
      </c>
      <c r="O22" s="50">
        <v>4.2488999999999999E-2</v>
      </c>
      <c r="P22" s="51">
        <v>8.6194999999999994E-2</v>
      </c>
      <c r="Q22" s="51">
        <v>4.0987999999999997E-2</v>
      </c>
      <c r="R22" s="51">
        <v>3.0917E-2</v>
      </c>
      <c r="S22" s="51">
        <v>6.5363000000000004E-2</v>
      </c>
      <c r="T22" s="52">
        <v>2.8638E-2</v>
      </c>
    </row>
    <row r="23" spans="1:20" x14ac:dyDescent="0.2">
      <c r="A23" s="23"/>
      <c r="B23" s="24"/>
      <c r="C23" s="24"/>
      <c r="E23" s="23"/>
      <c r="F23" s="24"/>
      <c r="G23" s="24"/>
      <c r="N23" s="23"/>
      <c r="O23" s="24"/>
      <c r="P23" s="24"/>
    </row>
    <row r="24" spans="1:20" x14ac:dyDescent="0.2">
      <c r="A24" s="23"/>
      <c r="B24" s="24"/>
      <c r="C24" s="24"/>
      <c r="E24" s="23"/>
      <c r="F24" s="24"/>
      <c r="G24" s="24"/>
      <c r="N24" s="23"/>
      <c r="O24" s="24"/>
      <c r="P24" s="24"/>
    </row>
    <row r="25" spans="1:20" ht="15.75" x14ac:dyDescent="0.25">
      <c r="A25" s="107" t="str">
        <f>VLOOKUP("&lt;T2UTitel4&gt;",Uebersetzungen!$B$3:$E$99,Uebersetzungen!$B$2+1,FALSE)</f>
        <v>Angebot in ausgewählten Kantonen, 2023</v>
      </c>
      <c r="B25" s="110"/>
      <c r="C25" s="110"/>
      <c r="D25" s="111"/>
      <c r="E25" s="42" t="str">
        <f>VLOOKUP("&lt;T2UTitel5&gt;",Uebersetzungen!$B$3:$E$99,Uebersetzungen!$B$2+1,FALSE)</f>
        <v>Nachfrage in ausgewählten Kantonen, 2023</v>
      </c>
      <c r="F25" s="35"/>
      <c r="G25" s="57"/>
      <c r="H25" s="35"/>
      <c r="I25" s="8"/>
      <c r="J25" s="8"/>
      <c r="K25" s="8"/>
      <c r="L25" s="8"/>
      <c r="M25" s="8"/>
      <c r="N25" s="42" t="str">
        <f>VLOOKUP("&lt;T2UTitel6&gt;",Uebersetzungen!$B$3:$E$99,Uebersetzungen!$B$2+1,FALSE)</f>
        <v>Variationskoeffizienten der Nachfrage in ausgewählten Kantonen, 2023</v>
      </c>
      <c r="O25" s="35"/>
      <c r="P25" s="35"/>
      <c r="Q25" s="35"/>
      <c r="R25" s="8"/>
      <c r="S25" s="8"/>
      <c r="T25" s="8"/>
    </row>
    <row r="26" spans="1:20" ht="14.25" x14ac:dyDescent="0.2">
      <c r="A26" s="7"/>
      <c r="B26" s="7"/>
      <c r="C26" s="7"/>
      <c r="D26" s="7"/>
      <c r="E26" s="7"/>
      <c r="F26" s="7"/>
      <c r="G26" s="7"/>
      <c r="H26" s="7"/>
      <c r="N26" s="7"/>
      <c r="O26" s="7"/>
      <c r="P26" s="7"/>
      <c r="Q26" s="7"/>
    </row>
    <row r="27" spans="1:20" x14ac:dyDescent="0.2">
      <c r="A27" s="25"/>
      <c r="B27" s="96" t="str">
        <f>VLOOKUP("&lt;SpaltenTitel_1&gt;",Uebersetzungen!$B$3:$E$99,Uebersetzungen!$B$2+1,FALSE)</f>
        <v>Angebot</v>
      </c>
      <c r="C27" s="98"/>
      <c r="E27" s="25"/>
      <c r="F27" s="96" t="str">
        <f>VLOOKUP("&lt;SpaltenTitel_2&gt;",Uebersetzungen!$B$3:$E$99,Uebersetzungen!$B$2+1,FALSE)</f>
        <v>Ankünfte</v>
      </c>
      <c r="G27" s="97"/>
      <c r="H27" s="98"/>
      <c r="I27" s="99" t="str">
        <f>VLOOKUP("&lt;SpaltenTitel_3&gt;",Uebersetzungen!$B$3:$E$99,Uebersetzungen!$B$2+1,FALSE)</f>
        <v>Logiernächte</v>
      </c>
      <c r="J27" s="99"/>
      <c r="K27" s="100"/>
      <c r="N27" s="25"/>
      <c r="O27" s="96" t="str">
        <f>VLOOKUP("&lt;SpaltenTitel_2&gt;",Uebersetzungen!$B$3:$E$99,Uebersetzungen!$B$2+1,FALSE)</f>
        <v>Ankünfte</v>
      </c>
      <c r="P27" s="97"/>
      <c r="Q27" s="98"/>
      <c r="R27" s="99" t="str">
        <f>VLOOKUP("&lt;SpaltenTitel_3&gt;",Uebersetzungen!$B$3:$E$99,Uebersetzungen!$B$2+1,FALSE)</f>
        <v>Logiernächte</v>
      </c>
      <c r="S27" s="99"/>
      <c r="T27" s="100"/>
    </row>
    <row r="28" spans="1:20" ht="25.5" x14ac:dyDescent="0.2">
      <c r="A28" s="36" t="str">
        <f>VLOOKUP("&lt;SpaltenTitel_1.1&gt;",Uebersetzungen!$B$3:$E$99,Uebersetzungen!$B$2+1,FALSE)</f>
        <v>Grossregion</v>
      </c>
      <c r="B28" s="28" t="str">
        <f>VLOOKUP("&lt;T2Zeilentitel_1&gt;",Uebersetzungen!$B$3:$E$99,Uebersetzungen!$B$2+1,FALSE)</f>
        <v>Erfasste Betriebe</v>
      </c>
      <c r="C28" s="28" t="str">
        <f>VLOOKUP("&lt;SpaltenTitel_2.1&gt;",Uebersetzungen!$B$3:$E$99,Uebersetzungen!$B$2+1,FALSE)</f>
        <v>Vorhandene Betten</v>
      </c>
      <c r="E28" s="36" t="str">
        <f>VLOOKUP("&lt;SpaltenTitel_2.2&gt;",Uebersetzungen!$B$3:$E$99,Uebersetzungen!$B$2+1,FALSE)</f>
        <v>Grossregion</v>
      </c>
      <c r="F28" s="37" t="str">
        <f>VLOOKUP("&lt;SpaltenTitel_2.3&gt;",Uebersetzungen!$B$3:$E$99,Uebersetzungen!$B$2+1,FALSE)</f>
        <v>Inländer/innen</v>
      </c>
      <c r="G28" s="37" t="str">
        <f>VLOOKUP("&lt;SpaltenTitel_2.4&gt;",Uebersetzungen!$B$3:$E$99,Uebersetzungen!$B$2+1,FALSE)</f>
        <v>Ausländer/innen</v>
      </c>
      <c r="H28" s="37" t="str">
        <f>VLOOKUP("&lt;SpaltenTitel_2.5&gt;",Uebersetzungen!$B$3:$E$99,Uebersetzungen!$B$2+1,FALSE)</f>
        <v>Total</v>
      </c>
      <c r="I28" s="37" t="str">
        <f>VLOOKUP("&lt;SpaltenTitel_2.6&gt;",Uebersetzungen!$B$3:$E$99,Uebersetzungen!$B$2+1,FALSE)</f>
        <v>Inländer/innen</v>
      </c>
      <c r="J28" s="37" t="str">
        <f>VLOOKUP("&lt;SpaltenTitel_2.7&gt;",Uebersetzungen!$B$3:$E$99,Uebersetzungen!$B$2+1,FALSE)</f>
        <v>Ausländer/innen</v>
      </c>
      <c r="K28" s="38" t="str">
        <f>VLOOKUP("&lt;SpaltenTitel_2.8&gt;",Uebersetzungen!$B$3:$E$99,Uebersetzungen!$B$2+1,FALSE)</f>
        <v>Total</v>
      </c>
      <c r="N28" s="36" t="str">
        <f>VLOOKUP("&lt;SpaltenTitel_2.2&gt;",Uebersetzungen!$B$3:$E$99,Uebersetzungen!$B$2+1,FALSE)</f>
        <v>Grossregion</v>
      </c>
      <c r="O28" s="37" t="str">
        <f>VLOOKUP("&lt;SpaltenTitel_2.3&gt;",Uebersetzungen!$B$3:$E$99,Uebersetzungen!$B$2+1,FALSE)</f>
        <v>Inländer/innen</v>
      </c>
      <c r="P28" s="37" t="str">
        <f>VLOOKUP("&lt;SpaltenTitel_2.4&gt;",Uebersetzungen!$B$3:$E$99,Uebersetzungen!$B$2+1,FALSE)</f>
        <v>Ausländer/innen</v>
      </c>
      <c r="Q28" s="37" t="str">
        <f>VLOOKUP("&lt;SpaltenTitel_2.5&gt;",Uebersetzungen!$B$3:$E$99,Uebersetzungen!$B$2+1,FALSE)</f>
        <v>Total</v>
      </c>
      <c r="R28" s="37" t="str">
        <f>VLOOKUP("&lt;SpaltenTitel_2.6&gt;",Uebersetzungen!$B$3:$E$99,Uebersetzungen!$B$2+1,FALSE)</f>
        <v>Inländer/innen</v>
      </c>
      <c r="S28" s="37" t="str">
        <f>VLOOKUP("&lt;SpaltenTitel_2.7&gt;",Uebersetzungen!$B$3:$E$99,Uebersetzungen!$B$2+1,FALSE)</f>
        <v>Ausländer/innen</v>
      </c>
      <c r="T28" s="38" t="str">
        <f>VLOOKUP("&lt;SpaltenTitel_2.8&gt;",Uebersetzungen!$B$3:$E$99,Uebersetzungen!$B$2+1,FALSE)</f>
        <v>Total</v>
      </c>
    </row>
    <row r="29" spans="1:20" x14ac:dyDescent="0.2">
      <c r="A29" s="16" t="str">
        <f>VLOOKUP("&lt;Zeilentitel_9&gt;",Uebersetzungen!$B$3:$E$99,Uebersetzungen!$B$2+1,FALSE)</f>
        <v>Bern</v>
      </c>
      <c r="B29" s="17">
        <v>363</v>
      </c>
      <c r="C29" s="21">
        <v>17993</v>
      </c>
      <c r="E29" s="16" t="str">
        <f>VLOOKUP("&lt;Zeilentitel_9&gt;",Uebersetzungen!$B$3:$E$99,Uebersetzungen!$B$2+1,FALSE)</f>
        <v>Bern</v>
      </c>
      <c r="F29" s="17">
        <v>429215.75780000002</v>
      </c>
      <c r="G29" s="21">
        <v>292045.81349999999</v>
      </c>
      <c r="H29" s="21">
        <v>137169.9443</v>
      </c>
      <c r="I29" s="21">
        <v>725537.0098</v>
      </c>
      <c r="J29" s="21">
        <v>305861.23210000002</v>
      </c>
      <c r="K29" s="33">
        <v>1031398.2419</v>
      </c>
      <c r="N29" s="16" t="str">
        <f>VLOOKUP("&lt;Zeilentitel_9&gt;",Uebersetzungen!$B$3:$E$99,Uebersetzungen!$B$2+1,FALSE)</f>
        <v>Bern</v>
      </c>
      <c r="O29" s="47">
        <v>3.5441E-2</v>
      </c>
      <c r="P29" s="48">
        <v>3.1439000000000002E-2</v>
      </c>
      <c r="Q29" s="48">
        <v>8.7881000000000001E-2</v>
      </c>
      <c r="R29" s="48">
        <v>3.6873000000000003E-2</v>
      </c>
      <c r="S29" s="48">
        <v>7.9164999999999999E-2</v>
      </c>
      <c r="T29" s="49">
        <v>3.5070999999999998E-2</v>
      </c>
    </row>
    <row r="30" spans="1:20" x14ac:dyDescent="0.2">
      <c r="A30" s="66" t="str">
        <f>VLOOKUP("&lt;Zeilentitel_10&gt;",Uebersetzungen!$B$3:$E$99,Uebersetzungen!$B$2+1,FALSE)</f>
        <v>Graubünden</v>
      </c>
      <c r="B30" s="67">
        <v>279</v>
      </c>
      <c r="C30" s="68">
        <v>14414</v>
      </c>
      <c r="E30" s="66" t="str">
        <f>VLOOKUP("&lt;Zeilentitel_10&gt;",Uebersetzungen!$B$3:$E$99,Uebersetzungen!$B$2+1,FALSE)</f>
        <v>Graubünden</v>
      </c>
      <c r="F30" s="67">
        <v>318145.37109999999</v>
      </c>
      <c r="G30" s="68">
        <v>254203.47690000001</v>
      </c>
      <c r="H30" s="68">
        <v>63941.894200000002</v>
      </c>
      <c r="I30" s="68">
        <v>688596.09739999997</v>
      </c>
      <c r="J30" s="68">
        <v>180911.3365</v>
      </c>
      <c r="K30" s="69">
        <v>869507.43389999995</v>
      </c>
      <c r="N30" s="66" t="str">
        <f>VLOOKUP("&lt;Zeilentitel_10&gt;",Uebersetzungen!$B$3:$E$99,Uebersetzungen!$B$2+1,FALSE)</f>
        <v>Graubünden</v>
      </c>
      <c r="O30" s="70">
        <v>2.7917000000000001E-2</v>
      </c>
      <c r="P30" s="71">
        <v>3.0540999999999999E-2</v>
      </c>
      <c r="Q30" s="71">
        <v>0.102728</v>
      </c>
      <c r="R30" s="71">
        <v>3.9260999999999997E-2</v>
      </c>
      <c r="S30" s="71">
        <v>0.13356000000000001</v>
      </c>
      <c r="T30" s="72">
        <v>3.4557999999999998E-2</v>
      </c>
    </row>
    <row r="31" spans="1:20" x14ac:dyDescent="0.2">
      <c r="A31" s="16" t="str">
        <f>VLOOKUP("&lt;Zeilentitel_11&gt;",Uebersetzungen!$B$3:$E$99,Uebersetzungen!$B$2+1,FALSE)</f>
        <v>Tessin</v>
      </c>
      <c r="B31" s="17">
        <v>172</v>
      </c>
      <c r="C31" s="21">
        <v>7574</v>
      </c>
      <c r="E31" s="16" t="str">
        <f>VLOOKUP("&lt;Zeilentitel_11&gt;",Uebersetzungen!$B$3:$E$99,Uebersetzungen!$B$2+1,FALSE)</f>
        <v>Tessin</v>
      </c>
      <c r="F31" s="17">
        <v>155562.0441</v>
      </c>
      <c r="G31" s="21">
        <v>140546.73809999999</v>
      </c>
      <c r="H31" s="21">
        <v>15015.306</v>
      </c>
      <c r="I31" s="21">
        <v>411745.27360000001</v>
      </c>
      <c r="J31" s="21">
        <v>26518.1371</v>
      </c>
      <c r="K31" s="33">
        <v>438263.41070000001</v>
      </c>
      <c r="N31" s="16" t="str">
        <f>VLOOKUP("&lt;Zeilentitel_11&gt;",Uebersetzungen!$B$3:$E$99,Uebersetzungen!$B$2+1,FALSE)</f>
        <v>Tessin</v>
      </c>
      <c r="O31" s="47">
        <v>4.0987999999999997E-2</v>
      </c>
      <c r="P31" s="48">
        <v>4.2488999999999999E-2</v>
      </c>
      <c r="Q31" s="48">
        <v>8.6194999999999994E-2</v>
      </c>
      <c r="R31" s="48">
        <v>3.0917E-2</v>
      </c>
      <c r="S31" s="48">
        <v>6.5363000000000004E-2</v>
      </c>
      <c r="T31" s="49">
        <v>2.8638E-2</v>
      </c>
    </row>
    <row r="32" spans="1:20" x14ac:dyDescent="0.2">
      <c r="A32" s="18" t="str">
        <f>VLOOKUP("&lt;Zeilentitel_12&gt;",Uebersetzungen!$B$3:$E$99,Uebersetzungen!$B$2+1,FALSE)</f>
        <v>Wallis</v>
      </c>
      <c r="B32" s="19">
        <v>352</v>
      </c>
      <c r="C32" s="22">
        <v>18378</v>
      </c>
      <c r="E32" s="18" t="str">
        <f>VLOOKUP("&lt;Zeilentitel_12&gt;",Uebersetzungen!$B$3:$E$99,Uebersetzungen!$B$2+1,FALSE)</f>
        <v>Wallis</v>
      </c>
      <c r="F32" s="19">
        <v>375428.03879999998</v>
      </c>
      <c r="G32" s="22">
        <v>282557.49070000002</v>
      </c>
      <c r="H32" s="22">
        <v>92870.5481</v>
      </c>
      <c r="I32" s="22">
        <v>661776.13289999997</v>
      </c>
      <c r="J32" s="22">
        <v>205353.74559999999</v>
      </c>
      <c r="K32" s="34">
        <v>867129.87840000005</v>
      </c>
      <c r="N32" s="18" t="str">
        <f>VLOOKUP("&lt;Zeilentitel_12&gt;",Uebersetzungen!$B$3:$E$99,Uebersetzungen!$B$2+1,FALSE)</f>
        <v>Wallis</v>
      </c>
      <c r="O32" s="50">
        <v>4.555E-2</v>
      </c>
      <c r="P32" s="51">
        <v>4.6653E-2</v>
      </c>
      <c r="Q32" s="51">
        <v>5.3599000000000001E-2</v>
      </c>
      <c r="R32" s="51">
        <v>2.5159999999999998E-2</v>
      </c>
      <c r="S32" s="51">
        <v>2.8830000000000001E-2</v>
      </c>
      <c r="T32" s="52">
        <v>2.3009999999999999E-2</v>
      </c>
    </row>
    <row r="34" spans="1:20" x14ac:dyDescent="0.2"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1:20" ht="15" x14ac:dyDescent="0.25">
      <c r="A35" s="107" t="str">
        <f>VLOOKUP("&lt;T2UTitel7&gt;",Uebersetzungen!$B$3:$E$99,Uebersetzungen!$B$2+1,FALSE)</f>
        <v>Angebot in den Bündner Destinationen, 2023</v>
      </c>
      <c r="B35" s="108"/>
      <c r="C35" s="108"/>
      <c r="D35" s="109"/>
      <c r="E35" s="104"/>
      <c r="F35" s="105"/>
      <c r="G35" s="105"/>
      <c r="H35" s="106"/>
      <c r="I35" s="23"/>
      <c r="J35" s="23"/>
      <c r="K35" s="23"/>
      <c r="L35" s="23"/>
      <c r="M35" s="23"/>
      <c r="N35" s="58"/>
      <c r="O35" s="59"/>
      <c r="P35" s="59"/>
      <c r="Q35" s="59"/>
      <c r="R35" s="23"/>
      <c r="S35" s="23"/>
      <c r="T35" s="23"/>
    </row>
    <row r="36" spans="1:20" x14ac:dyDescent="0.2">
      <c r="A36" s="10"/>
      <c r="B36" s="11"/>
      <c r="C36" s="11"/>
      <c r="E36" s="10"/>
      <c r="F36" s="11"/>
      <c r="G36" s="11"/>
      <c r="H36" s="23"/>
      <c r="I36" s="23"/>
      <c r="J36" s="23"/>
      <c r="K36" s="23"/>
      <c r="L36" s="23"/>
      <c r="M36" s="23"/>
      <c r="N36" s="10"/>
      <c r="O36" s="11"/>
      <c r="P36" s="11"/>
      <c r="Q36" s="23"/>
      <c r="R36" s="23"/>
      <c r="S36" s="23"/>
      <c r="T36" s="23"/>
    </row>
    <row r="37" spans="1:20" x14ac:dyDescent="0.2">
      <c r="A37" s="25"/>
      <c r="B37" s="96" t="str">
        <f>VLOOKUP("&lt;SpaltenTitel_1&gt;",Uebersetzungen!$B$3:$E$99,Uebersetzungen!$B$2+1,FALSE)</f>
        <v>Angebot</v>
      </c>
      <c r="C37" s="98"/>
      <c r="E37" s="60"/>
      <c r="F37" s="101"/>
      <c r="G37" s="101"/>
      <c r="H37" s="101"/>
      <c r="I37" s="102"/>
      <c r="J37" s="102"/>
      <c r="K37" s="102"/>
      <c r="L37" s="23"/>
      <c r="M37" s="23"/>
      <c r="N37" s="60"/>
      <c r="O37" s="101"/>
      <c r="P37" s="101"/>
      <c r="Q37" s="101"/>
      <c r="R37" s="102"/>
      <c r="S37" s="102"/>
      <c r="T37" s="102"/>
    </row>
    <row r="38" spans="1:20" ht="25.5" x14ac:dyDescent="0.2">
      <c r="A38" s="36" t="s">
        <v>33</v>
      </c>
      <c r="B38" s="28" t="str">
        <f>VLOOKUP("&lt;T2Zeilentitel_1&gt;",Uebersetzungen!$B$3:$E$99,Uebersetzungen!$B$2+1,FALSE)</f>
        <v>Erfasste Betriebe</v>
      </c>
      <c r="C38" s="28" t="str">
        <f>VLOOKUP("&lt;SpaltenTitel_2.1&gt;",Uebersetzungen!$B$3:$E$99,Uebersetzungen!$B$2+1,FALSE)</f>
        <v>Vorhandene Betten</v>
      </c>
      <c r="E38" s="61"/>
      <c r="F38" s="62"/>
      <c r="G38" s="62"/>
      <c r="H38" s="62"/>
      <c r="I38" s="62"/>
      <c r="J38" s="62"/>
      <c r="K38" s="62"/>
      <c r="L38" s="23"/>
      <c r="M38" s="23"/>
      <c r="N38" s="61"/>
      <c r="O38" s="62"/>
      <c r="P38" s="62"/>
      <c r="Q38" s="62"/>
      <c r="R38" s="62"/>
      <c r="S38" s="62"/>
      <c r="T38" s="62"/>
    </row>
    <row r="39" spans="1:20" x14ac:dyDescent="0.2">
      <c r="A39" s="39" t="str">
        <f>VLOOKUP("&lt;Zeilentitel_13&gt;",Uebersetzungen!$B$3:$E$99,Uebersetzungen!$B$2+1,FALSE)</f>
        <v>Graubünden</v>
      </c>
      <c r="B39" s="40">
        <v>279</v>
      </c>
      <c r="C39" s="41">
        <v>14414</v>
      </c>
      <c r="E39" s="63"/>
      <c r="F39" s="64"/>
      <c r="G39" s="64"/>
      <c r="H39" s="64"/>
      <c r="I39" s="64"/>
      <c r="J39" s="64"/>
      <c r="K39" s="64"/>
      <c r="L39" s="23"/>
      <c r="M39" s="23"/>
      <c r="N39" s="63"/>
      <c r="O39" s="65"/>
      <c r="P39" s="65"/>
      <c r="Q39" s="65"/>
      <c r="R39" s="65"/>
      <c r="S39" s="65"/>
      <c r="T39" s="65"/>
    </row>
    <row r="40" spans="1:20" s="23" customFormat="1" x14ac:dyDescent="0.2">
      <c r="A40" s="16" t="str">
        <f>VLOOKUP("&lt;Zeilentitel_14&gt;",Uebersetzungen!$B$3:$E$99,Uebersetzungen!$B$2+1,FALSE)</f>
        <v>Arosa</v>
      </c>
      <c r="B40" s="17">
        <v>9</v>
      </c>
      <c r="C40" s="21">
        <v>422</v>
      </c>
      <c r="D40" s="9"/>
      <c r="F40" s="24"/>
      <c r="G40" s="24"/>
    </row>
    <row r="41" spans="1:20" s="23" customFormat="1" x14ac:dyDescent="0.2">
      <c r="A41" s="16" t="str">
        <f>VLOOKUP("&lt;Zeilentitel_15&gt;",Uebersetzungen!$B$3:$E$99,Uebersetzungen!$B$2+1,FALSE)</f>
        <v>Bergün Filisur</v>
      </c>
      <c r="B41" s="17">
        <v>9</v>
      </c>
      <c r="C41" s="21">
        <v>400</v>
      </c>
      <c r="D41" s="9"/>
      <c r="F41" s="24"/>
      <c r="G41" s="24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s="23" customFormat="1" x14ac:dyDescent="0.2">
      <c r="A42" s="16" t="str">
        <f>VLOOKUP("&lt;Zeilentitel_16&gt;",Uebersetzungen!$B$3:$E$99,Uebersetzungen!$B$2+1,FALSE)</f>
        <v>Bregaglia Engadin</v>
      </c>
      <c r="B42" s="17">
        <v>6</v>
      </c>
      <c r="C42" s="21">
        <v>352</v>
      </c>
      <c r="D42" s="9"/>
      <c r="F42" s="24"/>
      <c r="G42" s="24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s="23" customFormat="1" x14ac:dyDescent="0.2">
      <c r="A43" s="16" t="str">
        <f>VLOOKUP("&lt;Zeilentitel_17&gt;",Uebersetzungen!$B$3:$E$99,Uebersetzungen!$B$2+1,FALSE)</f>
        <v>Bündner Herrschaft</v>
      </c>
      <c r="B43" s="17">
        <v>3</v>
      </c>
      <c r="C43" s="21">
        <v>63</v>
      </c>
      <c r="D43" s="9"/>
      <c r="F43" s="24"/>
      <c r="G43" s="24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s="6" customFormat="1" ht="12.75" customHeight="1" x14ac:dyDescent="0.25">
      <c r="A44" s="16" t="str">
        <f>VLOOKUP("&lt;Zeilentitel_18&gt;",Uebersetzungen!$B$3:$E$99,Uebersetzungen!$B$2+1,FALSE)</f>
        <v>Chur</v>
      </c>
      <c r="B44" s="17">
        <v>4</v>
      </c>
      <c r="C44" s="21">
        <v>201</v>
      </c>
      <c r="D44" s="9"/>
      <c r="E44" s="23"/>
      <c r="F44" s="24"/>
      <c r="G44" s="24"/>
      <c r="H44" s="23"/>
      <c r="I44" s="23"/>
      <c r="J44" s="23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s="6" customFormat="1" ht="12.75" customHeight="1" x14ac:dyDescent="0.25">
      <c r="A45" s="16" t="str">
        <f>VLOOKUP("&lt;Zeilentitel_19&gt;",Uebersetzungen!$B$3:$E$99,Uebersetzungen!$B$2+1,FALSE)</f>
        <v>Davos Klosters</v>
      </c>
      <c r="B45" s="17">
        <v>28</v>
      </c>
      <c r="C45" s="21">
        <v>1938</v>
      </c>
      <c r="D45" s="9"/>
      <c r="E45" s="23"/>
      <c r="F45" s="24"/>
      <c r="G45" s="24"/>
      <c r="H45" s="23"/>
      <c r="I45" s="23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s="23" customFormat="1" x14ac:dyDescent="0.2">
      <c r="A46" s="16" t="str">
        <f>VLOOKUP("&lt;Zeilentitel_20&gt;",Uebersetzungen!$B$3:$E$99,Uebersetzungen!$B$2+1,FALSE)</f>
        <v>Disentis Sedrun</v>
      </c>
      <c r="B46" s="17">
        <v>25</v>
      </c>
      <c r="C46" s="21">
        <v>1400</v>
      </c>
      <c r="D46" s="9"/>
      <c r="F46" s="24"/>
      <c r="G46" s="24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">
      <c r="A47" s="16" t="str">
        <f>VLOOKUP("&lt;Zeilentitel_21&gt;",Uebersetzungen!$B$3:$E$99,Uebersetzungen!$B$2+1,FALSE)</f>
        <v>Engadin Scuol Samnaun</v>
      </c>
      <c r="B47" s="17">
        <v>32</v>
      </c>
      <c r="C47" s="21">
        <v>1706</v>
      </c>
      <c r="E47" s="23"/>
      <c r="F47" s="24"/>
      <c r="G47" s="24"/>
      <c r="H47" s="23"/>
      <c r="I47" s="23"/>
    </row>
    <row r="48" spans="1:20" x14ac:dyDescent="0.2">
      <c r="A48" s="16" t="str">
        <f>VLOOKUP("&lt;Zeilentitel_22&gt;",Uebersetzungen!$B$3:$E$99,Uebersetzungen!$B$2+1,FALSE)</f>
        <v>Engadin St. Moritz</v>
      </c>
      <c r="B48" s="17">
        <v>22</v>
      </c>
      <c r="C48" s="21">
        <v>1334</v>
      </c>
      <c r="E48" s="23"/>
      <c r="F48" s="24"/>
      <c r="G48" s="24"/>
      <c r="H48" s="23"/>
      <c r="I48" s="23"/>
    </row>
    <row r="49" spans="1:20" x14ac:dyDescent="0.2">
      <c r="A49" s="16" t="str">
        <f>VLOOKUP("&lt;Zeilentitel_23&gt;",Uebersetzungen!$B$3:$E$99,Uebersetzungen!$B$2+1,FALSE)</f>
        <v>Flims Laax</v>
      </c>
      <c r="B49" s="17">
        <v>10</v>
      </c>
      <c r="C49" s="21">
        <v>370</v>
      </c>
      <c r="E49" s="23"/>
      <c r="F49" s="24"/>
      <c r="G49" s="24"/>
      <c r="H49" s="53"/>
      <c r="I49" s="53"/>
    </row>
    <row r="50" spans="1:20" x14ac:dyDescent="0.2">
      <c r="A50" s="16" t="str">
        <f>VLOOKUP("&lt;Zeilentitel_24&gt;",Uebersetzungen!$B$3:$E$99,Uebersetzungen!$B$2+1,FALSE)</f>
        <v>Lenzerheide</v>
      </c>
      <c r="B50" s="17">
        <v>26</v>
      </c>
      <c r="C50" s="21">
        <v>1701</v>
      </c>
      <c r="E50" s="23"/>
      <c r="F50" s="24"/>
      <c r="G50" s="24"/>
      <c r="H50" s="23"/>
      <c r="I50" s="23"/>
    </row>
    <row r="51" spans="1:20" x14ac:dyDescent="0.2">
      <c r="A51" s="16" t="str">
        <f>VLOOKUP("&lt;Zeilentitel_25&gt;",Uebersetzungen!$B$3:$E$99,Uebersetzungen!$B$2+1,FALSE)</f>
        <v>Prättigau</v>
      </c>
      <c r="B51" s="17">
        <v>11</v>
      </c>
      <c r="C51" s="21">
        <v>541</v>
      </c>
      <c r="E51" s="23"/>
      <c r="F51" s="24"/>
      <c r="G51" s="24"/>
      <c r="H51" s="23"/>
      <c r="I51" s="23"/>
    </row>
    <row r="52" spans="1:20" x14ac:dyDescent="0.2">
      <c r="A52" s="16" t="str">
        <f>VLOOKUP("&lt;Zeilentitel_26&gt;",Uebersetzungen!$B$3:$E$99,Uebersetzungen!$B$2+1,FALSE)</f>
        <v>San Bernardino, Mesolcina / Calanca</v>
      </c>
      <c r="B52" s="17">
        <v>9</v>
      </c>
      <c r="C52" s="21">
        <v>503</v>
      </c>
      <c r="E52" s="23"/>
      <c r="F52" s="24"/>
      <c r="G52" s="24"/>
      <c r="H52" s="23"/>
      <c r="I52" s="23"/>
    </row>
    <row r="53" spans="1:20" x14ac:dyDescent="0.2">
      <c r="A53" s="16" t="str">
        <f>VLOOKUP("&lt;Zeilentitel_27&gt;",Uebersetzungen!$B$3:$E$99,Uebersetzungen!$B$2+1,FALSE)</f>
        <v>Val Surses (inkl. Gde Albula/Alvra)</v>
      </c>
      <c r="B53" s="17">
        <v>15</v>
      </c>
      <c r="C53" s="21">
        <v>539</v>
      </c>
      <c r="E53" s="23"/>
      <c r="F53" s="24"/>
      <c r="G53" s="24"/>
      <c r="H53" s="23"/>
      <c r="I53" s="23"/>
    </row>
    <row r="54" spans="1:20" x14ac:dyDescent="0.2">
      <c r="A54" s="16" t="str">
        <f>VLOOKUP("&lt;Zeilentitel_28&gt;",Uebersetzungen!$B$3:$E$99,Uebersetzungen!$B$2+1,FALSE)</f>
        <v>Surselva</v>
      </c>
      <c r="B54" s="17">
        <v>33</v>
      </c>
      <c r="C54" s="21">
        <v>1430</v>
      </c>
      <c r="E54" s="23"/>
      <c r="F54" s="24"/>
      <c r="G54" s="24"/>
      <c r="H54" s="23"/>
      <c r="I54" s="23"/>
    </row>
    <row r="55" spans="1:20" x14ac:dyDescent="0.2">
      <c r="A55" s="16" t="str">
        <f>VLOOKUP("&lt;Zeilentitel_29&gt;",Uebersetzungen!$B$3:$E$99,Uebersetzungen!$B$2+1,FALSE)</f>
        <v>Valposchiavo</v>
      </c>
      <c r="B55" s="17">
        <v>8</v>
      </c>
      <c r="C55" s="21">
        <v>261</v>
      </c>
      <c r="E55" s="23"/>
      <c r="F55" s="24"/>
      <c r="G55" s="24"/>
      <c r="H55" s="23"/>
      <c r="I55" s="23"/>
    </row>
    <row r="56" spans="1:20" x14ac:dyDescent="0.2">
      <c r="A56" s="16" t="str">
        <f>VLOOKUP("&lt;Zeilentitel_30&gt;",Uebersetzungen!$B$3:$E$99,Uebersetzungen!$B$2+1,FALSE)</f>
        <v>Vals</v>
      </c>
      <c r="B56" s="17">
        <v>4</v>
      </c>
      <c r="C56" s="21">
        <v>111</v>
      </c>
      <c r="E56" s="23"/>
      <c r="F56" s="24"/>
      <c r="G56" s="24"/>
      <c r="H56" s="23"/>
      <c r="I56" s="23"/>
    </row>
    <row r="57" spans="1:20" x14ac:dyDescent="0.2">
      <c r="A57" s="18" t="str">
        <f>VLOOKUP("&lt;Zeilentitel_31&gt;",Uebersetzungen!$B$3:$E$99,Uebersetzungen!$B$2+1,FALSE)</f>
        <v>Viamala</v>
      </c>
      <c r="B57" s="17">
        <v>25</v>
      </c>
      <c r="C57" s="22">
        <v>1142</v>
      </c>
      <c r="E57" s="23"/>
      <c r="F57" s="24"/>
      <c r="G57" s="24"/>
      <c r="H57" s="23"/>
      <c r="I57" s="23"/>
    </row>
    <row r="58" spans="1:20" x14ac:dyDescent="0.2">
      <c r="B58" s="26"/>
    </row>
    <row r="59" spans="1:20" x14ac:dyDescent="0.2">
      <c r="A59" s="23" t="str">
        <f>VLOOKUP("&lt;T2Legende_1&gt;",Uebersetzungen!$B$3:$E$99,Uebersetzungen!$B$2+1,FALSE)</f>
        <v>(1) Als Kollektivunterkünfte gelten einerseits Betriebe, die Schlafplätze (Betten) in Kollektivzimmern vermieten. Ebenfalls als Kollektivunterkünfte gelten Räumlichkeiten, die als Ganzes vermietet werden und auf die Beherbergung von Gruppen ausgerichtet sind.</v>
      </c>
      <c r="B59" s="11"/>
      <c r="C59" s="11"/>
      <c r="D59" s="27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</row>
    <row r="60" spans="1:20" ht="13.5" x14ac:dyDescent="0.25">
      <c r="A60" s="10" t="str">
        <f>VLOOKUP("&lt;T2Legende_4&gt;",Uebersetzungen!$B$3:$E$99,Uebersetzungen!$B$2+1,FALSE)</f>
        <v>(keine Unterteilung von Gemeinden)</v>
      </c>
      <c r="B60" s="11"/>
      <c r="C60" s="11"/>
      <c r="D60" s="2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3.5" x14ac:dyDescent="0.25">
      <c r="A61" s="10"/>
      <c r="B61" s="11"/>
      <c r="C61" s="11"/>
      <c r="D61" s="2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x14ac:dyDescent="0.2">
      <c r="A62" s="12" t="str">
        <f>VLOOKUP("&lt;Quelle_1&gt;",Uebersetzungen!$B$3:$E$99,Uebersetzungen!$B$2+1,FALSE)</f>
        <v>Quelle: BFS (PASTA)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</row>
    <row r="63" spans="1:20" x14ac:dyDescent="0.2">
      <c r="A63" s="9" t="str">
        <f>VLOOKUP("&lt;Aktualisierung&gt;",Uebersetzungen!$B$3:$E$99,Uebersetzungen!$B$2+1,FALSE)</f>
        <v>Letztmals aktualisiert am: 09.07.2024</v>
      </c>
    </row>
  </sheetData>
  <sheetProtection sheet="1" objects="1" scenarios="1"/>
  <mergeCells count="23">
    <mergeCell ref="A25:D25"/>
    <mergeCell ref="F13:H13"/>
    <mergeCell ref="B13:C13"/>
    <mergeCell ref="B2:E2"/>
    <mergeCell ref="B3:E3"/>
    <mergeCell ref="B4:E4"/>
    <mergeCell ref="A7:D7"/>
    <mergeCell ref="A11:D11"/>
    <mergeCell ref="F27:H27"/>
    <mergeCell ref="I27:K27"/>
    <mergeCell ref="O27:Q27"/>
    <mergeCell ref="R27:T27"/>
    <mergeCell ref="B27:C27"/>
    <mergeCell ref="O37:Q37"/>
    <mergeCell ref="R37:T37"/>
    <mergeCell ref="I13:K13"/>
    <mergeCell ref="O13:Q13"/>
    <mergeCell ref="R13:T13"/>
    <mergeCell ref="A35:D35"/>
    <mergeCell ref="E35:H35"/>
    <mergeCell ref="B37:C37"/>
    <mergeCell ref="F37:H37"/>
    <mergeCell ref="I37:K37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44" r:id="rId4" name="Option Button 124">
              <controlPr defaultSize="0" autoFill="0" autoLine="0" autoPict="0">
                <anchor moveWithCells="1">
                  <from>
                    <xdr:col>5</xdr:col>
                    <xdr:colOff>152400</xdr:colOff>
                    <xdr:row>1</xdr:row>
                    <xdr:rowOff>133350</xdr:rowOff>
                  </from>
                  <to>
                    <xdr:col>6</xdr:col>
                    <xdr:colOff>371475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5" name="Option Button 125">
              <controlPr defaultSize="0" autoFill="0" autoLine="0" autoPict="0">
                <anchor moveWithCells="1">
                  <from>
                    <xdr:col>5</xdr:col>
                    <xdr:colOff>152400</xdr:colOff>
                    <xdr:row>2</xdr:row>
                    <xdr:rowOff>123825</xdr:rowOff>
                  </from>
                  <to>
                    <xdr:col>6</xdr:col>
                    <xdr:colOff>733425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6" name="Option Button 126">
              <controlPr defaultSize="0" autoFill="0" autoLine="0" autoPict="0">
                <anchor moveWithCells="1">
                  <from>
                    <xdr:col>5</xdr:col>
                    <xdr:colOff>152400</xdr:colOff>
                    <xdr:row>3</xdr:row>
                    <xdr:rowOff>85725</xdr:rowOff>
                  </from>
                  <to>
                    <xdr:col>6</xdr:col>
                    <xdr:colOff>371475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workbookViewId="0">
      <selection activeCell="E74" sqref="E74"/>
    </sheetView>
  </sheetViews>
  <sheetFormatPr baseColWidth="10" defaultColWidth="12.5703125" defaultRowHeight="12.75" x14ac:dyDescent="0.2"/>
  <cols>
    <col min="1" max="1" width="8.5703125" style="75" bestFit="1" customWidth="1"/>
    <col min="2" max="2" width="17.7109375" style="75" bestFit="1" customWidth="1"/>
    <col min="3" max="3" width="46.7109375" style="75" bestFit="1" customWidth="1"/>
    <col min="4" max="4" width="47.5703125" style="75" bestFit="1" customWidth="1"/>
    <col min="5" max="5" width="47" style="75" bestFit="1" customWidth="1"/>
    <col min="6" max="16384" width="12.5703125" style="75"/>
  </cols>
  <sheetData>
    <row r="1" spans="1:6" x14ac:dyDescent="0.2">
      <c r="A1" s="73" t="s">
        <v>41</v>
      </c>
      <c r="B1" s="73" t="s">
        <v>42</v>
      </c>
      <c r="C1" s="73" t="s">
        <v>43</v>
      </c>
      <c r="D1" s="73" t="s">
        <v>44</v>
      </c>
      <c r="E1" s="73" t="s">
        <v>45</v>
      </c>
      <c r="F1" s="74"/>
    </row>
    <row r="2" spans="1:6" ht="13.5" thickBot="1" x14ac:dyDescent="0.25">
      <c r="A2" s="76" t="s">
        <v>46</v>
      </c>
      <c r="B2" s="77">
        <v>1</v>
      </c>
      <c r="C2" s="74"/>
      <c r="D2" s="74"/>
      <c r="E2" s="74"/>
      <c r="F2" s="74"/>
    </row>
    <row r="3" spans="1:6" s="94" customFormat="1" ht="26.25" thickBot="1" x14ac:dyDescent="0.25">
      <c r="A3" s="90"/>
      <c r="B3" s="91" t="s">
        <v>186</v>
      </c>
      <c r="C3" s="92">
        <v>2023</v>
      </c>
      <c r="D3" s="93"/>
    </row>
    <row r="4" spans="1:6" x14ac:dyDescent="0.2">
      <c r="A4" s="76"/>
      <c r="B4" s="77"/>
      <c r="C4" s="74"/>
      <c r="D4" s="74"/>
      <c r="E4" s="74"/>
      <c r="F4" s="74"/>
    </row>
    <row r="5" spans="1:6" x14ac:dyDescent="0.2">
      <c r="A5" s="76"/>
      <c r="B5" s="75" t="s">
        <v>47</v>
      </c>
      <c r="C5" s="78" t="s">
        <v>48</v>
      </c>
      <c r="D5" s="78" t="s">
        <v>49</v>
      </c>
      <c r="E5" s="78" t="s">
        <v>50</v>
      </c>
      <c r="F5" s="74"/>
    </row>
    <row r="6" spans="1:6" ht="25.5" x14ac:dyDescent="0.2">
      <c r="A6" s="76" t="s">
        <v>51</v>
      </c>
      <c r="B6" s="79" t="s">
        <v>52</v>
      </c>
      <c r="C6" s="80" t="str">
        <f>"Parahotelleriestatistik: Ferienwohnungen(1) - Angebot und Nachfrage "&amp;$C$3</f>
        <v>Parahotelleriestatistik: Ferienwohnungen(1) - Angebot und Nachfrage 2023</v>
      </c>
      <c r="D6" s="80" t="str">
        <f>"Statistica da la parahotellaria: abitaziuns da vacanzas(1) - purschida e dumonda "&amp;$C$3</f>
        <v>Statistica da la parahotellaria: abitaziuns da vacanzas(1) - purschida e dumonda 2023</v>
      </c>
      <c r="E6" s="80" t="str">
        <f>"Statistica del settore paraalberghiero: appartamenti di vacanza(1) - offerta e domanda "&amp;$C$3</f>
        <v>Statistica del settore paraalberghiero: appartamenti di vacanza(1) - offerta e domanda 2023</v>
      </c>
      <c r="F6" s="74"/>
    </row>
    <row r="7" spans="1:6" x14ac:dyDescent="0.2">
      <c r="A7" s="76"/>
      <c r="B7" s="87" t="s">
        <v>106</v>
      </c>
      <c r="C7" s="80" t="str">
        <f>"Angebot in der Schweiz und den Grossregionen, "&amp;$C$3</f>
        <v>Angebot in der Schweiz und den Grossregionen, 2023</v>
      </c>
      <c r="D7" s="80" t="str">
        <f>"Purschida en Svizra ed en las regiuns grondas, "&amp;C3</f>
        <v>Purschida en Svizra ed en las regiuns grondas, 2023</v>
      </c>
      <c r="E7" s="80" t="str">
        <f>"Offerta in Svizzera e nelle grandi regioni, "&amp;$C$3</f>
        <v>Offerta in Svizzera e nelle grandi regioni, 2023</v>
      </c>
      <c r="F7" s="74"/>
    </row>
    <row r="8" spans="1:6" ht="25.5" x14ac:dyDescent="0.2">
      <c r="A8" s="76"/>
      <c r="B8" s="87" t="s">
        <v>107</v>
      </c>
      <c r="C8" s="80" t="str">
        <f>"Nachfrage in der Schweiz und den Grossregionen, "&amp;$C$3</f>
        <v>Nachfrage in der Schweiz und den Grossregionen, 2023</v>
      </c>
      <c r="D8" s="80" t="str">
        <f>"Dumonda en Svizra ed en las regiuns grondas, "&amp;$C$3</f>
        <v>Dumonda en Svizra ed en las regiuns grondas, 2023</v>
      </c>
      <c r="E8" s="80" t="str">
        <f>"Domanda in Svizzera e nelle grandi regioni, "&amp;$C$3</f>
        <v>Domanda in Svizzera e nelle grandi regioni, 2023</v>
      </c>
      <c r="F8" s="74"/>
    </row>
    <row r="9" spans="1:6" ht="25.5" x14ac:dyDescent="0.2">
      <c r="A9" s="76"/>
      <c r="B9" s="87" t="s">
        <v>108</v>
      </c>
      <c r="C9" s="80" t="str">
        <f>"Variationskoeffizienten der Nachfrage in der Schweiz und den Grossregionen, "&amp;C3</f>
        <v>Variationskoeffizienten der Nachfrage in der Schweiz und den Grossregionen, 2023</v>
      </c>
      <c r="D9" s="80" t="str">
        <f>"Coeffizients da variaziun da la dumonda en Svizra ed en las regiuns grondas, "&amp;$C$3</f>
        <v>Coeffizients da variaziun da la dumonda en Svizra ed en las regiuns grondas, 2023</v>
      </c>
      <c r="E9" s="80" t="str">
        <f>"Coefficienti di variazione della domanda in Svizzera e nelle grandi regioni, "&amp;$C$3</f>
        <v>Coefficienti di variazione della domanda in Svizzera e nelle grandi regioni, 2023</v>
      </c>
      <c r="F9" s="74"/>
    </row>
    <row r="10" spans="1:6" x14ac:dyDescent="0.2">
      <c r="A10" s="76"/>
      <c r="B10" s="87" t="s">
        <v>109</v>
      </c>
      <c r="C10" s="80" t="str">
        <f>"Angebot in ausgewählten Kantonen, "&amp;$C$3</f>
        <v>Angebot in ausgewählten Kantonen, 2023</v>
      </c>
      <c r="D10" s="80" t="str">
        <f>"Purschida en tscherts chantuns, "&amp;$C$3</f>
        <v>Purschida en tscherts chantuns, 2023</v>
      </c>
      <c r="E10" s="80" t="str">
        <f>"Offerta in cantoni selezionati, "&amp;$C$3</f>
        <v>Offerta in cantoni selezionati, 2023</v>
      </c>
      <c r="F10" s="74"/>
    </row>
    <row r="11" spans="1:6" x14ac:dyDescent="0.2">
      <c r="A11" s="76"/>
      <c r="B11" s="87" t="s">
        <v>110</v>
      </c>
      <c r="C11" s="81" t="str">
        <f>"Nachfrage in ausgewählten Kantonen, "&amp;$C$3</f>
        <v>Nachfrage in ausgewählten Kantonen, 2023</v>
      </c>
      <c r="D11" s="81" t="str">
        <f>"Dumonda en tscherts chantuns, "&amp;$C$3</f>
        <v>Dumonda en tscherts chantuns, 2023</v>
      </c>
      <c r="E11" s="81" t="str">
        <f>"Domanda in alcuni cantoni selezionati, "&amp;$C$3</f>
        <v>Domanda in alcuni cantoni selezionati, 2023</v>
      </c>
      <c r="F11" s="74"/>
    </row>
    <row r="12" spans="1:6" ht="25.5" x14ac:dyDescent="0.2">
      <c r="A12" s="76"/>
      <c r="B12" s="87" t="s">
        <v>133</v>
      </c>
      <c r="C12" s="80" t="str">
        <f>"Variationskoeffizienten der Nachfrage in ausgewählten Kantonen, "&amp;$C$3</f>
        <v>Variationskoeffizienten der Nachfrage in ausgewählten Kantonen, 2023</v>
      </c>
      <c r="D12" s="80" t="str">
        <f>"Coeffizients da variaziun da la dumonda en tscherts chantuns, "&amp;$C$3</f>
        <v>Coeffizients da variaziun da la dumonda en tscherts chantuns, 2023</v>
      </c>
      <c r="E12" s="80" t="str">
        <f>"Coefficienti di variazione della domanda in alcuni cantoni, "&amp;$C$3</f>
        <v>Coefficienti di variazione della domanda in alcuni cantoni, 2023</v>
      </c>
      <c r="F12" s="74"/>
    </row>
    <row r="13" spans="1:6" x14ac:dyDescent="0.2">
      <c r="A13" s="76"/>
      <c r="B13" s="87" t="s">
        <v>134</v>
      </c>
      <c r="C13" s="81" t="str">
        <f>"Angebot in den Bündner Destinationen, "&amp;$C$3</f>
        <v>Angebot in den Bündner Destinationen, 2023</v>
      </c>
      <c r="D13" s="81" t="str">
        <f>"Purschida en las destinaziuns grischunas, "&amp;$C$3</f>
        <v>Purschida en las destinaziuns grischunas, 2023</v>
      </c>
      <c r="E13" s="81" t="str">
        <f>"Offerta nelle destinazioni dei Grigioni, "&amp;$C$3</f>
        <v>Offerta nelle destinazioni dei Grigioni, 2023</v>
      </c>
      <c r="F13" s="74"/>
    </row>
    <row r="14" spans="1:6" x14ac:dyDescent="0.2">
      <c r="A14" s="76"/>
      <c r="B14" s="76"/>
      <c r="C14" s="82"/>
      <c r="D14" s="82"/>
      <c r="E14" s="82"/>
      <c r="F14" s="74"/>
    </row>
    <row r="15" spans="1:6" ht="14.25" customHeight="1" x14ac:dyDescent="0.2">
      <c r="A15" s="76" t="s">
        <v>53</v>
      </c>
      <c r="B15" s="75" t="s">
        <v>54</v>
      </c>
      <c r="C15" s="88" t="s">
        <v>5</v>
      </c>
      <c r="D15" s="81" t="s">
        <v>145</v>
      </c>
      <c r="E15" s="81" t="s">
        <v>148</v>
      </c>
      <c r="F15" s="74"/>
    </row>
    <row r="16" spans="1:6" ht="14.25" customHeight="1" x14ac:dyDescent="0.2">
      <c r="A16" s="76"/>
      <c r="B16" s="75" t="s">
        <v>56</v>
      </c>
      <c r="C16" s="88" t="s">
        <v>31</v>
      </c>
      <c r="D16" s="81" t="s">
        <v>146</v>
      </c>
      <c r="E16" s="81" t="s">
        <v>149</v>
      </c>
      <c r="F16" s="74"/>
    </row>
    <row r="17" spans="1:6" ht="14.25" customHeight="1" x14ac:dyDescent="0.2">
      <c r="A17" s="76"/>
      <c r="B17" s="75" t="s">
        <v>57</v>
      </c>
      <c r="C17" s="88" t="s">
        <v>0</v>
      </c>
      <c r="D17" s="81" t="s">
        <v>147</v>
      </c>
      <c r="E17" s="81" t="s">
        <v>150</v>
      </c>
      <c r="F17" s="74"/>
    </row>
    <row r="18" spans="1:6" x14ac:dyDescent="0.2">
      <c r="A18" s="76"/>
      <c r="B18" s="76"/>
      <c r="C18" s="82"/>
      <c r="D18" s="82"/>
      <c r="E18" s="82"/>
      <c r="F18" s="76"/>
    </row>
    <row r="19" spans="1:6" ht="14.25" customHeight="1" x14ac:dyDescent="0.2">
      <c r="A19" s="76"/>
      <c r="B19" s="87" t="s">
        <v>58</v>
      </c>
      <c r="C19" s="88" t="s">
        <v>6</v>
      </c>
      <c r="D19" s="81" t="s">
        <v>156</v>
      </c>
      <c r="E19" s="81" t="s">
        <v>161</v>
      </c>
      <c r="F19" s="74"/>
    </row>
    <row r="20" spans="1:6" ht="14.25" customHeight="1" x14ac:dyDescent="0.2">
      <c r="A20" s="76"/>
      <c r="B20" s="87" t="s">
        <v>59</v>
      </c>
      <c r="C20" s="88" t="s">
        <v>153</v>
      </c>
      <c r="D20" s="81" t="s">
        <v>154</v>
      </c>
      <c r="E20" s="81" t="s">
        <v>166</v>
      </c>
      <c r="F20" s="74"/>
    </row>
    <row r="21" spans="1:6" ht="14.25" customHeight="1" x14ac:dyDescent="0.2">
      <c r="A21" s="76"/>
      <c r="B21" s="87" t="s">
        <v>60</v>
      </c>
      <c r="C21" s="88" t="s">
        <v>3</v>
      </c>
      <c r="D21" s="81" t="s">
        <v>157</v>
      </c>
      <c r="E21" s="81" t="s">
        <v>162</v>
      </c>
      <c r="F21" s="74"/>
    </row>
    <row r="22" spans="1:6" ht="14.25" customHeight="1" x14ac:dyDescent="0.2">
      <c r="A22" s="76"/>
      <c r="B22" s="87" t="s">
        <v>61</v>
      </c>
      <c r="C22" s="88" t="s">
        <v>6</v>
      </c>
      <c r="D22" s="81" t="s">
        <v>156</v>
      </c>
      <c r="E22" s="81" t="s">
        <v>161</v>
      </c>
      <c r="F22" s="74"/>
    </row>
    <row r="23" spans="1:6" ht="14.25" customHeight="1" x14ac:dyDescent="0.2">
      <c r="A23" s="76"/>
      <c r="B23" s="87" t="s">
        <v>118</v>
      </c>
      <c r="C23" s="88" t="s">
        <v>29</v>
      </c>
      <c r="D23" s="81" t="s">
        <v>158</v>
      </c>
      <c r="E23" s="81" t="s">
        <v>167</v>
      </c>
      <c r="F23" s="74"/>
    </row>
    <row r="24" spans="1:6" ht="14.25" customHeight="1" x14ac:dyDescent="0.2">
      <c r="A24" s="76"/>
      <c r="B24" s="87" t="s">
        <v>119</v>
      </c>
      <c r="C24" s="88" t="s">
        <v>30</v>
      </c>
      <c r="D24" s="81" t="s">
        <v>159</v>
      </c>
      <c r="E24" s="81" t="s">
        <v>163</v>
      </c>
      <c r="F24" s="74"/>
    </row>
    <row r="25" spans="1:6" ht="14.25" customHeight="1" x14ac:dyDescent="0.2">
      <c r="A25" s="76"/>
      <c r="B25" s="87" t="s">
        <v>120</v>
      </c>
      <c r="C25" s="88" t="s">
        <v>7</v>
      </c>
      <c r="D25" s="81" t="s">
        <v>7</v>
      </c>
      <c r="E25" s="81" t="s">
        <v>55</v>
      </c>
      <c r="F25" s="74"/>
    </row>
    <row r="26" spans="1:6" ht="14.25" customHeight="1" x14ac:dyDescent="0.2">
      <c r="A26" s="76"/>
      <c r="B26" s="87" t="s">
        <v>121</v>
      </c>
      <c r="C26" s="88" t="s">
        <v>29</v>
      </c>
      <c r="D26" s="81" t="s">
        <v>158</v>
      </c>
      <c r="E26" s="81" t="s">
        <v>167</v>
      </c>
      <c r="F26" s="74"/>
    </row>
    <row r="27" spans="1:6" x14ac:dyDescent="0.2">
      <c r="A27" s="76"/>
      <c r="B27" s="87" t="s">
        <v>122</v>
      </c>
      <c r="C27" s="88" t="s">
        <v>30</v>
      </c>
      <c r="D27" s="81" t="s">
        <v>159</v>
      </c>
      <c r="E27" s="81" t="s">
        <v>163</v>
      </c>
      <c r="F27" s="74"/>
    </row>
    <row r="28" spans="1:6" x14ac:dyDescent="0.2">
      <c r="A28" s="76"/>
      <c r="B28" s="87" t="s">
        <v>123</v>
      </c>
      <c r="C28" s="88" t="s">
        <v>7</v>
      </c>
      <c r="D28" s="81" t="s">
        <v>7</v>
      </c>
      <c r="E28" s="81" t="s">
        <v>55</v>
      </c>
      <c r="F28" s="74"/>
    </row>
    <row r="29" spans="1:6" x14ac:dyDescent="0.2">
      <c r="A29" s="76"/>
      <c r="B29" s="87" t="s">
        <v>187</v>
      </c>
      <c r="C29" s="88" t="s">
        <v>35</v>
      </c>
      <c r="D29" s="81" t="s">
        <v>160</v>
      </c>
      <c r="E29" s="81" t="s">
        <v>164</v>
      </c>
      <c r="F29" s="74"/>
    </row>
    <row r="30" spans="1:6" x14ac:dyDescent="0.2">
      <c r="A30" s="76"/>
      <c r="B30" s="87" t="s">
        <v>188</v>
      </c>
      <c r="C30" s="88" t="s">
        <v>33</v>
      </c>
      <c r="D30" s="81" t="s">
        <v>155</v>
      </c>
      <c r="E30" s="81" t="s">
        <v>165</v>
      </c>
      <c r="F30" s="74"/>
    </row>
    <row r="31" spans="1:6" x14ac:dyDescent="0.2">
      <c r="A31" s="76"/>
      <c r="B31" s="74"/>
      <c r="C31" s="83"/>
      <c r="D31" s="83"/>
      <c r="E31" s="83"/>
      <c r="F31" s="74"/>
    </row>
    <row r="32" spans="1:6" x14ac:dyDescent="0.2">
      <c r="A32" s="76" t="s">
        <v>51</v>
      </c>
      <c r="B32" s="75" t="s">
        <v>62</v>
      </c>
      <c r="C32" s="81" t="s">
        <v>1</v>
      </c>
      <c r="D32" s="81" t="s">
        <v>143</v>
      </c>
      <c r="E32" s="81" t="s">
        <v>144</v>
      </c>
      <c r="F32" s="74"/>
    </row>
    <row r="33" spans="1:6" x14ac:dyDescent="0.2">
      <c r="A33" s="74"/>
      <c r="B33" s="75" t="s">
        <v>63</v>
      </c>
      <c r="C33" s="81" t="s">
        <v>8</v>
      </c>
      <c r="D33" s="81" t="s">
        <v>175</v>
      </c>
      <c r="E33" s="81" t="s">
        <v>168</v>
      </c>
      <c r="F33" s="74"/>
    </row>
    <row r="34" spans="1:6" x14ac:dyDescent="0.2">
      <c r="A34" s="74"/>
      <c r="B34" s="75" t="s">
        <v>66</v>
      </c>
      <c r="C34" s="81" t="s">
        <v>9</v>
      </c>
      <c r="D34" s="81" t="s">
        <v>9</v>
      </c>
      <c r="E34" s="81" t="s">
        <v>9</v>
      </c>
      <c r="F34" s="74"/>
    </row>
    <row r="35" spans="1:6" x14ac:dyDescent="0.2">
      <c r="A35" s="74"/>
      <c r="B35" s="75" t="s">
        <v>68</v>
      </c>
      <c r="C35" s="81" t="s">
        <v>10</v>
      </c>
      <c r="D35" s="81" t="s">
        <v>172</v>
      </c>
      <c r="E35" s="81" t="s">
        <v>169</v>
      </c>
      <c r="F35" s="74"/>
    </row>
    <row r="36" spans="1:6" x14ac:dyDescent="0.2">
      <c r="A36" s="74"/>
      <c r="B36" s="75" t="s">
        <v>69</v>
      </c>
      <c r="C36" s="81" t="s">
        <v>11</v>
      </c>
      <c r="D36" s="81" t="s">
        <v>64</v>
      </c>
      <c r="E36" s="81" t="s">
        <v>65</v>
      </c>
      <c r="F36" s="74"/>
    </row>
    <row r="37" spans="1:6" x14ac:dyDescent="0.2">
      <c r="A37" s="74"/>
      <c r="B37" s="75" t="s">
        <v>70</v>
      </c>
      <c r="C37" s="81" t="s">
        <v>12</v>
      </c>
      <c r="D37" s="81" t="s">
        <v>173</v>
      </c>
      <c r="E37" s="81" t="s">
        <v>170</v>
      </c>
      <c r="F37" s="74"/>
    </row>
    <row r="38" spans="1:6" x14ac:dyDescent="0.2">
      <c r="A38" s="74"/>
      <c r="B38" s="75" t="s">
        <v>71</v>
      </c>
      <c r="C38" s="81" t="s">
        <v>13</v>
      </c>
      <c r="D38" s="81" t="s">
        <v>174</v>
      </c>
      <c r="E38" s="81" t="s">
        <v>171</v>
      </c>
      <c r="F38" s="74"/>
    </row>
    <row r="39" spans="1:6" x14ac:dyDescent="0.2">
      <c r="A39" s="74"/>
      <c r="B39" s="75" t="s">
        <v>72</v>
      </c>
      <c r="C39" s="81" t="s">
        <v>14</v>
      </c>
      <c r="D39" s="81" t="s">
        <v>14</v>
      </c>
      <c r="E39" s="81" t="s">
        <v>89</v>
      </c>
      <c r="F39" s="74"/>
    </row>
    <row r="40" spans="1:6" x14ac:dyDescent="0.2">
      <c r="A40" s="74"/>
      <c r="B40" s="75" t="s">
        <v>73</v>
      </c>
      <c r="C40" s="81" t="s">
        <v>36</v>
      </c>
      <c r="D40" s="81" t="s">
        <v>67</v>
      </c>
      <c r="E40" s="81" t="s">
        <v>67</v>
      </c>
      <c r="F40" s="74"/>
    </row>
    <row r="41" spans="1:6" x14ac:dyDescent="0.2">
      <c r="A41" s="74"/>
      <c r="B41" s="75" t="s">
        <v>74</v>
      </c>
      <c r="C41" s="81" t="s">
        <v>2</v>
      </c>
      <c r="D41" s="81" t="s">
        <v>84</v>
      </c>
      <c r="E41" s="81" t="s">
        <v>85</v>
      </c>
      <c r="F41" s="74"/>
    </row>
    <row r="42" spans="1:6" x14ac:dyDescent="0.2">
      <c r="A42" s="74"/>
      <c r="B42" s="75" t="s">
        <v>75</v>
      </c>
      <c r="C42" s="81" t="s">
        <v>14</v>
      </c>
      <c r="D42" s="81" t="s">
        <v>14</v>
      </c>
      <c r="E42" s="81" t="s">
        <v>89</v>
      </c>
      <c r="F42" s="74"/>
    </row>
    <row r="43" spans="1:6" x14ac:dyDescent="0.2">
      <c r="A43" s="74"/>
      <c r="B43" s="75" t="s">
        <v>76</v>
      </c>
      <c r="C43" s="81" t="s">
        <v>37</v>
      </c>
      <c r="D43" s="81" t="s">
        <v>92</v>
      </c>
      <c r="E43" s="81" t="s">
        <v>93</v>
      </c>
      <c r="F43" s="74"/>
    </row>
    <row r="44" spans="1:6" x14ac:dyDescent="0.2">
      <c r="A44" s="74"/>
      <c r="B44" s="75" t="s">
        <v>77</v>
      </c>
      <c r="C44" s="81" t="s">
        <v>2</v>
      </c>
      <c r="D44" s="81" t="s">
        <v>84</v>
      </c>
      <c r="E44" s="81" t="s">
        <v>85</v>
      </c>
      <c r="F44" s="74"/>
    </row>
    <row r="45" spans="1:6" x14ac:dyDescent="0.2">
      <c r="A45" s="74"/>
      <c r="B45" s="75" t="s">
        <v>78</v>
      </c>
      <c r="C45" s="81" t="s">
        <v>15</v>
      </c>
      <c r="D45" s="81" t="s">
        <v>139</v>
      </c>
      <c r="E45" s="81" t="s">
        <v>139</v>
      </c>
      <c r="F45" s="74"/>
    </row>
    <row r="46" spans="1:6" x14ac:dyDescent="0.2">
      <c r="A46" s="74"/>
      <c r="B46" s="75" t="s">
        <v>79</v>
      </c>
      <c r="C46" s="81" t="s">
        <v>16</v>
      </c>
      <c r="D46" s="81" t="s">
        <v>16</v>
      </c>
      <c r="E46" s="81" t="s">
        <v>16</v>
      </c>
      <c r="F46" s="74"/>
    </row>
    <row r="47" spans="1:6" x14ac:dyDescent="0.2">
      <c r="A47" s="74"/>
      <c r="B47" s="75" t="s">
        <v>80</v>
      </c>
      <c r="C47" s="81" t="s">
        <v>189</v>
      </c>
      <c r="D47" s="81" t="s">
        <v>189</v>
      </c>
      <c r="E47" s="81" t="s">
        <v>189</v>
      </c>
      <c r="F47" s="74"/>
    </row>
    <row r="48" spans="1:6" x14ac:dyDescent="0.2">
      <c r="A48" s="74"/>
      <c r="B48" s="75" t="s">
        <v>81</v>
      </c>
      <c r="C48" s="81" t="s">
        <v>34</v>
      </c>
      <c r="D48" s="81" t="s">
        <v>140</v>
      </c>
      <c r="E48" s="81" t="s">
        <v>140</v>
      </c>
      <c r="F48" s="74"/>
    </row>
    <row r="49" spans="1:6" x14ac:dyDescent="0.2">
      <c r="A49" s="74"/>
      <c r="B49" s="75" t="s">
        <v>82</v>
      </c>
      <c r="C49" s="81" t="s">
        <v>17</v>
      </c>
      <c r="D49" s="81" t="s">
        <v>17</v>
      </c>
      <c r="E49" s="81" t="s">
        <v>17</v>
      </c>
      <c r="F49" s="74"/>
    </row>
    <row r="50" spans="1:6" x14ac:dyDescent="0.2">
      <c r="A50" s="74"/>
      <c r="B50" s="75" t="s">
        <v>83</v>
      </c>
      <c r="C50" s="81" t="s">
        <v>18</v>
      </c>
      <c r="D50" s="81" t="s">
        <v>18</v>
      </c>
      <c r="E50" s="81" t="s">
        <v>18</v>
      </c>
      <c r="F50" s="74"/>
    </row>
    <row r="51" spans="1:6" x14ac:dyDescent="0.2">
      <c r="A51" s="74"/>
      <c r="B51" s="75" t="s">
        <v>86</v>
      </c>
      <c r="C51" s="81" t="s">
        <v>19</v>
      </c>
      <c r="D51" s="81" t="s">
        <v>19</v>
      </c>
      <c r="E51" s="81" t="s">
        <v>19</v>
      </c>
      <c r="F51" s="74"/>
    </row>
    <row r="52" spans="1:6" x14ac:dyDescent="0.2">
      <c r="A52" s="74"/>
      <c r="B52" s="75" t="s">
        <v>87</v>
      </c>
      <c r="C52" s="81" t="s">
        <v>38</v>
      </c>
      <c r="D52" s="81" t="s">
        <v>141</v>
      </c>
      <c r="E52" s="81" t="s">
        <v>141</v>
      </c>
      <c r="F52" s="74"/>
    </row>
    <row r="53" spans="1:6" x14ac:dyDescent="0.2">
      <c r="A53" s="74"/>
      <c r="B53" s="75" t="s">
        <v>88</v>
      </c>
      <c r="C53" s="81" t="s">
        <v>190</v>
      </c>
      <c r="D53" s="81" t="s">
        <v>190</v>
      </c>
      <c r="E53" s="81" t="s">
        <v>190</v>
      </c>
      <c r="F53" s="74"/>
    </row>
    <row r="54" spans="1:6" x14ac:dyDescent="0.2">
      <c r="A54" s="74"/>
      <c r="B54" s="75" t="s">
        <v>90</v>
      </c>
      <c r="C54" s="81" t="s">
        <v>20</v>
      </c>
      <c r="D54" s="81" t="s">
        <v>20</v>
      </c>
      <c r="E54" s="81" t="s">
        <v>20</v>
      </c>
      <c r="F54" s="74"/>
    </row>
    <row r="55" spans="1:6" x14ac:dyDescent="0.2">
      <c r="A55" s="74"/>
      <c r="B55" s="75" t="s">
        <v>91</v>
      </c>
      <c r="C55" s="81" t="s">
        <v>21</v>
      </c>
      <c r="D55" s="81" t="s">
        <v>21</v>
      </c>
      <c r="E55" s="81" t="s">
        <v>21</v>
      </c>
      <c r="F55" s="74"/>
    </row>
    <row r="56" spans="1:6" x14ac:dyDescent="0.2">
      <c r="A56" s="74"/>
      <c r="B56" s="75" t="s">
        <v>94</v>
      </c>
      <c r="C56" s="81" t="s">
        <v>22</v>
      </c>
      <c r="D56" s="81" t="s">
        <v>22</v>
      </c>
      <c r="E56" s="81" t="s">
        <v>22</v>
      </c>
      <c r="F56" s="74"/>
    </row>
    <row r="57" spans="1:6" x14ac:dyDescent="0.2">
      <c r="A57" s="74"/>
      <c r="B57" s="75" t="s">
        <v>95</v>
      </c>
      <c r="C57" s="81" t="s">
        <v>39</v>
      </c>
      <c r="D57" s="81" t="s">
        <v>142</v>
      </c>
      <c r="E57" s="81" t="s">
        <v>142</v>
      </c>
      <c r="F57" s="74"/>
    </row>
    <row r="58" spans="1:6" x14ac:dyDescent="0.2">
      <c r="A58" s="74"/>
      <c r="B58" s="75" t="s">
        <v>96</v>
      </c>
      <c r="C58" s="81" t="s">
        <v>40</v>
      </c>
      <c r="D58" s="81" t="s">
        <v>40</v>
      </c>
      <c r="E58" s="81" t="s">
        <v>40</v>
      </c>
      <c r="F58" s="74"/>
    </row>
    <row r="59" spans="1:6" x14ac:dyDescent="0.2">
      <c r="A59" s="74"/>
      <c r="B59" s="87" t="s">
        <v>114</v>
      </c>
      <c r="C59" s="81" t="s">
        <v>23</v>
      </c>
      <c r="D59" s="81" t="s">
        <v>23</v>
      </c>
      <c r="E59" s="81" t="s">
        <v>23</v>
      </c>
      <c r="F59" s="74"/>
    </row>
    <row r="60" spans="1:6" x14ac:dyDescent="0.2">
      <c r="A60" s="74"/>
      <c r="B60" s="87" t="s">
        <v>115</v>
      </c>
      <c r="C60" s="81" t="s">
        <v>24</v>
      </c>
      <c r="D60" s="81" t="s">
        <v>24</v>
      </c>
      <c r="E60" s="81" t="s">
        <v>24</v>
      </c>
      <c r="F60" s="74"/>
    </row>
    <row r="61" spans="1:6" x14ac:dyDescent="0.2">
      <c r="A61" s="74"/>
      <c r="B61" s="87" t="s">
        <v>116</v>
      </c>
      <c r="C61" s="81" t="s">
        <v>25</v>
      </c>
      <c r="D61" s="81" t="s">
        <v>25</v>
      </c>
      <c r="E61" s="81" t="s">
        <v>25</v>
      </c>
      <c r="F61" s="74"/>
    </row>
    <row r="62" spans="1:6" x14ac:dyDescent="0.2">
      <c r="A62" s="74"/>
      <c r="B62" s="87" t="s">
        <v>117</v>
      </c>
      <c r="C62" s="81" t="s">
        <v>26</v>
      </c>
      <c r="D62" s="81" t="s">
        <v>26</v>
      </c>
      <c r="E62" s="81" t="s">
        <v>26</v>
      </c>
      <c r="F62" s="74"/>
    </row>
    <row r="63" spans="1:6" x14ac:dyDescent="0.2">
      <c r="A63" s="74"/>
      <c r="B63" s="74"/>
      <c r="C63" s="83"/>
      <c r="D63" s="83"/>
      <c r="E63" s="83"/>
      <c r="F63" s="74"/>
    </row>
    <row r="64" spans="1:6" ht="76.5" x14ac:dyDescent="0.2">
      <c r="A64" s="76"/>
      <c r="B64" s="75" t="s">
        <v>97</v>
      </c>
      <c r="C64" s="81" t="s">
        <v>137</v>
      </c>
      <c r="D64" s="81" t="s">
        <v>182</v>
      </c>
      <c r="E64" s="84" t="s">
        <v>183</v>
      </c>
      <c r="F64" s="74"/>
    </row>
    <row r="65" spans="1:6" x14ac:dyDescent="0.2">
      <c r="A65" s="74"/>
      <c r="B65" s="75" t="s">
        <v>98</v>
      </c>
      <c r="C65" s="81" t="s">
        <v>27</v>
      </c>
      <c r="D65" s="81" t="s">
        <v>181</v>
      </c>
      <c r="E65" s="84" t="s">
        <v>178</v>
      </c>
      <c r="F65" s="74"/>
    </row>
    <row r="66" spans="1:6" x14ac:dyDescent="0.2">
      <c r="A66" s="74"/>
      <c r="B66" s="75" t="s">
        <v>99</v>
      </c>
      <c r="C66" s="81" t="s">
        <v>32</v>
      </c>
      <c r="D66" s="81" t="s">
        <v>180</v>
      </c>
      <c r="E66" s="81" t="s">
        <v>176</v>
      </c>
      <c r="F66" s="74"/>
    </row>
    <row r="67" spans="1:6" x14ac:dyDescent="0.2">
      <c r="A67" s="74"/>
      <c r="B67" s="75" t="s">
        <v>100</v>
      </c>
      <c r="C67" s="81" t="s">
        <v>28</v>
      </c>
      <c r="D67" s="81" t="s">
        <v>179</v>
      </c>
      <c r="E67" s="81" t="s">
        <v>177</v>
      </c>
      <c r="F67" s="74"/>
    </row>
    <row r="68" spans="1:6" x14ac:dyDescent="0.2">
      <c r="A68" s="74"/>
      <c r="B68" s="74"/>
      <c r="C68" s="83"/>
      <c r="D68" s="83"/>
      <c r="E68" s="83"/>
      <c r="F68" s="74"/>
    </row>
    <row r="69" spans="1:6" x14ac:dyDescent="0.2">
      <c r="A69" s="74" t="s">
        <v>53</v>
      </c>
      <c r="B69" s="75" t="s">
        <v>101</v>
      </c>
      <c r="C69" s="81" t="s">
        <v>111</v>
      </c>
      <c r="D69" s="81" t="s">
        <v>112</v>
      </c>
      <c r="E69" s="81" t="s">
        <v>113</v>
      </c>
      <c r="F69" s="74"/>
    </row>
    <row r="70" spans="1:6" x14ac:dyDescent="0.2">
      <c r="A70" s="74" t="s">
        <v>51</v>
      </c>
      <c r="B70" s="85" t="s">
        <v>102</v>
      </c>
      <c r="C70" s="86" t="s">
        <v>191</v>
      </c>
      <c r="D70" s="86" t="s">
        <v>192</v>
      </c>
      <c r="E70" s="86" t="s">
        <v>193</v>
      </c>
      <c r="F70" s="74"/>
    </row>
    <row r="71" spans="1:6" x14ac:dyDescent="0.2">
      <c r="A71" s="74"/>
      <c r="B71" s="74"/>
      <c r="C71" s="83"/>
      <c r="D71" s="83"/>
      <c r="E71" s="83"/>
      <c r="F71" s="74"/>
    </row>
    <row r="72" spans="1:6" x14ac:dyDescent="0.2">
      <c r="A72" s="76"/>
      <c r="B72" s="77"/>
      <c r="C72" s="83"/>
      <c r="D72" s="83"/>
      <c r="E72" s="83"/>
      <c r="F72" s="74"/>
    </row>
    <row r="73" spans="1:6" x14ac:dyDescent="0.2">
      <c r="A73" s="76"/>
      <c r="B73" s="77"/>
      <c r="C73" s="83"/>
      <c r="D73" s="83"/>
      <c r="E73" s="83"/>
      <c r="F73" s="74"/>
    </row>
    <row r="74" spans="1:6" ht="25.5" x14ac:dyDescent="0.2">
      <c r="A74" s="76" t="s">
        <v>103</v>
      </c>
      <c r="B74" s="89" t="s">
        <v>104</v>
      </c>
      <c r="C74" s="80" t="str">
        <f>"Parahotelleriestatistik: Kollektivunterkünfte(1) - Angebot und Nachfrage "&amp;$C$3</f>
        <v>Parahotelleriestatistik: Kollektivunterkünfte(1) - Angebot und Nachfrage 2023</v>
      </c>
      <c r="D74" s="80" t="str">
        <f>"Statistica da la parahotellaria: alloschis collectivs(1) - purschida e dumonda "&amp;$C$3</f>
        <v>Statistica da la parahotellaria: alloschis collectivs(1) - purschida e dumonda 2023</v>
      </c>
      <c r="E74" s="80" t="str">
        <f>"Statistica del settore paraalberghiero: alloggi collettivi(1) - offerta e domanda "&amp;$C$3</f>
        <v>Statistica del settore paraalberghiero: alloggi collettivi(1) - offerta e domanda 2023</v>
      </c>
      <c r="F74" s="74"/>
    </row>
    <row r="75" spans="1:6" x14ac:dyDescent="0.2">
      <c r="A75" s="76"/>
      <c r="B75" s="87" t="s">
        <v>124</v>
      </c>
      <c r="C75" s="80" t="str">
        <f>"Angebot in der Schweiz und den Grossregionen, "&amp;$C$3</f>
        <v>Angebot in der Schweiz und den Grossregionen, 2023</v>
      </c>
      <c r="D75" s="80" t="str">
        <f>"Purschida en Svizra ed en las regiuns grondas, "&amp;C3</f>
        <v>Purschida en Svizra ed en las regiuns grondas, 2023</v>
      </c>
      <c r="E75" s="80" t="str">
        <f>"Offerta in Svizzera e nelle grandi regioni, "&amp;$C$3</f>
        <v>Offerta in Svizzera e nelle grandi regioni, 2023</v>
      </c>
      <c r="F75" s="74"/>
    </row>
    <row r="76" spans="1:6" ht="25.5" x14ac:dyDescent="0.2">
      <c r="A76" s="76"/>
      <c r="B76" s="87" t="s">
        <v>125</v>
      </c>
      <c r="C76" s="80" t="str">
        <f>"Nachfrage in der Schweiz und den Grossregionen, "&amp;$C$3</f>
        <v>Nachfrage in der Schweiz und den Grossregionen, 2023</v>
      </c>
      <c r="D76" s="80" t="str">
        <f>"Dumonda en Svizra ed en las regiuns grondas, "&amp;$C$3</f>
        <v>Dumonda en Svizra ed en las regiuns grondas, 2023</v>
      </c>
      <c r="E76" s="80" t="str">
        <f>"Domanda in Svizzera e nelle grandi regioni, "&amp;$C$3</f>
        <v>Domanda in Svizzera e nelle grandi regioni, 2023</v>
      </c>
      <c r="F76" s="74"/>
    </row>
    <row r="77" spans="1:6" ht="25.5" x14ac:dyDescent="0.2">
      <c r="A77" s="76"/>
      <c r="B77" s="87" t="s">
        <v>126</v>
      </c>
      <c r="C77" s="80" t="str">
        <f>"Variationskoeffizienten der Nachfrage in der Schweiz und den Grossregionen, "&amp;C3</f>
        <v>Variationskoeffizienten der Nachfrage in der Schweiz und den Grossregionen, 2023</v>
      </c>
      <c r="D77" s="80" t="str">
        <f>"Coeffizients da variaziun da la dumonda en Svizra ed en las regiuns grondas, "&amp;$C$3</f>
        <v>Coeffizients da variaziun da la dumonda en Svizra ed en las regiuns grondas, 2023</v>
      </c>
      <c r="E77" s="80" t="str">
        <f>"Coefficienti di variazione della domanda in Svizzera e nelle grandi regioni, "&amp;$C$3</f>
        <v>Coefficienti di variazione della domanda in Svizzera e nelle grandi regioni, 2023</v>
      </c>
      <c r="F77" s="74"/>
    </row>
    <row r="78" spans="1:6" x14ac:dyDescent="0.2">
      <c r="A78" s="76"/>
      <c r="B78" s="87" t="s">
        <v>127</v>
      </c>
      <c r="C78" s="80" t="str">
        <f>"Angebot in ausgewählten Kantonen, "&amp;$C$3</f>
        <v>Angebot in ausgewählten Kantonen, 2023</v>
      </c>
      <c r="D78" s="80" t="str">
        <f>"Purschida en tscherts chantuns, "&amp;$C$3</f>
        <v>Purschida en tscherts chantuns, 2023</v>
      </c>
      <c r="E78" s="80" t="str">
        <f>"Offerta in cantoni selezionati, "&amp;$C$3</f>
        <v>Offerta in cantoni selezionati, 2023</v>
      </c>
      <c r="F78" s="74"/>
    </row>
    <row r="79" spans="1:6" x14ac:dyDescent="0.2">
      <c r="A79" s="76"/>
      <c r="B79" s="87" t="s">
        <v>128</v>
      </c>
      <c r="C79" s="81" t="str">
        <f>"Nachfrage in ausgewählten Kantonen, "&amp;$C$3</f>
        <v>Nachfrage in ausgewählten Kantonen, 2023</v>
      </c>
      <c r="D79" s="81" t="str">
        <f>"Dumonda en tscherts chantuns, "&amp;$C$3</f>
        <v>Dumonda en tscherts chantuns, 2023</v>
      </c>
      <c r="E79" s="81" t="str">
        <f>"Domanda in alcuni cantoni selezionati, "&amp;$C$3</f>
        <v>Domanda in alcuni cantoni selezionati, 2023</v>
      </c>
      <c r="F79" s="74"/>
    </row>
    <row r="80" spans="1:6" ht="25.5" x14ac:dyDescent="0.2">
      <c r="A80" s="76"/>
      <c r="B80" s="87" t="s">
        <v>135</v>
      </c>
      <c r="C80" s="80" t="str">
        <f>"Variationskoeffizienten der Nachfrage in ausgewählten Kantonen, "&amp;$C$3</f>
        <v>Variationskoeffizienten der Nachfrage in ausgewählten Kantonen, 2023</v>
      </c>
      <c r="D80" s="80" t="str">
        <f>"Coeffizients da variaziun da la dumonda en tscherts chantuns, "&amp;$C$3</f>
        <v>Coeffizients da variaziun da la dumonda en tscherts chantuns, 2023</v>
      </c>
      <c r="E80" s="80" t="str">
        <f>"Coefficienti di variazione della domanda in alcuni cantoni, "&amp;$C$3</f>
        <v>Coefficienti di variazione della domanda in alcuni cantoni, 2023</v>
      </c>
      <c r="F80" s="74"/>
    </row>
    <row r="81" spans="1:6" x14ac:dyDescent="0.2">
      <c r="A81" s="76"/>
      <c r="B81" s="87" t="s">
        <v>136</v>
      </c>
      <c r="C81" s="81" t="str">
        <f>"Angebot in den Bündner Destinationen, "&amp;$C$3</f>
        <v>Angebot in den Bündner Destinationen, 2023</v>
      </c>
      <c r="D81" s="81" t="str">
        <f>"Purschida en las destinaziuns grischunas, "&amp;$C$3</f>
        <v>Purschida en las destinaziuns grischunas, 2023</v>
      </c>
      <c r="E81" s="81" t="str">
        <f>"Offerta nelle destinazioni dei Grigioni, "&amp;$C$3</f>
        <v>Offerta nelle destinazioni dei Grigioni, 2023</v>
      </c>
      <c r="F81" s="74"/>
    </row>
    <row r="82" spans="1:6" x14ac:dyDescent="0.2">
      <c r="A82" s="76"/>
      <c r="B82" s="74"/>
      <c r="C82" s="83"/>
      <c r="D82" s="83"/>
      <c r="E82" s="83"/>
      <c r="F82" s="74"/>
    </row>
    <row r="83" spans="1:6" x14ac:dyDescent="0.2">
      <c r="A83" s="76" t="s">
        <v>103</v>
      </c>
      <c r="B83" s="75" t="s">
        <v>105</v>
      </c>
      <c r="C83" s="81" t="s">
        <v>4</v>
      </c>
      <c r="D83" s="81" t="s">
        <v>152</v>
      </c>
      <c r="E83" s="81" t="s">
        <v>151</v>
      </c>
      <c r="F83" s="74"/>
    </row>
    <row r="84" spans="1:6" x14ac:dyDescent="0.2">
      <c r="A84" s="74"/>
      <c r="B84" s="74"/>
      <c r="C84" s="83"/>
      <c r="D84" s="83"/>
      <c r="E84" s="83"/>
      <c r="F84" s="74"/>
    </row>
    <row r="85" spans="1:6" ht="63.75" x14ac:dyDescent="0.2">
      <c r="A85" s="76"/>
      <c r="B85" s="87" t="s">
        <v>129</v>
      </c>
      <c r="C85" s="81" t="s">
        <v>138</v>
      </c>
      <c r="D85" s="81" t="s">
        <v>184</v>
      </c>
      <c r="E85" s="84" t="s">
        <v>185</v>
      </c>
      <c r="F85" s="74"/>
    </row>
    <row r="86" spans="1:6" x14ac:dyDescent="0.2">
      <c r="A86" s="74"/>
      <c r="B86" s="87" t="s">
        <v>130</v>
      </c>
      <c r="C86" s="81" t="s">
        <v>27</v>
      </c>
      <c r="D86" s="81" t="s">
        <v>181</v>
      </c>
      <c r="E86" s="84" t="s">
        <v>178</v>
      </c>
      <c r="F86" s="74"/>
    </row>
    <row r="87" spans="1:6" x14ac:dyDescent="0.2">
      <c r="A87" s="74"/>
      <c r="B87" s="87" t="s">
        <v>131</v>
      </c>
      <c r="C87" s="81" t="s">
        <v>32</v>
      </c>
      <c r="D87" s="81" t="s">
        <v>180</v>
      </c>
      <c r="E87" s="81" t="s">
        <v>176</v>
      </c>
      <c r="F87" s="74"/>
    </row>
    <row r="88" spans="1:6" x14ac:dyDescent="0.2">
      <c r="A88" s="74"/>
      <c r="B88" s="87" t="s">
        <v>132</v>
      </c>
      <c r="C88" s="81" t="s">
        <v>28</v>
      </c>
      <c r="D88" s="81" t="s">
        <v>179</v>
      </c>
      <c r="E88" s="81" t="s">
        <v>177</v>
      </c>
      <c r="F88" s="74"/>
    </row>
    <row r="89" spans="1:6" x14ac:dyDescent="0.2">
      <c r="A89" s="74"/>
      <c r="B89" s="74"/>
      <c r="C89" s="83"/>
      <c r="D89" s="83"/>
      <c r="E89" s="83"/>
      <c r="F89" s="74"/>
    </row>
    <row r="91" spans="1:6" x14ac:dyDescent="0.2">
      <c r="C91" s="8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tegorie xmlns="a85bdc46-611b-4a7e-936f-e8248c6e1bca">Beherbergungsstatistik</Kategorie>
    <Benutzerdefinierte_x0020_ID xmlns="a85bdc46-611b-4a7e-936f-e8248c6e1bca">1010</Benutzerdefinierte_x0020_ID>
    <Titel_DE xmlns="a85bdc46-611b-4a7e-936f-e8248c6e1bca">Ferienwohnungen und Kollektivunterkünfte 2023 - Schweiz und Graubünden</Titel_DE>
    <PublishingExpirationDate xmlns="http://schemas.microsoft.com/sharepoint/v3" xsi:nil="true"/>
    <PublishingStartDate xmlns="http://schemas.microsoft.com/sharepoint/v3" xsi:nil="true"/>
    <Titel_IT xmlns="a85bdc46-611b-4a7e-936f-e8248c6e1bca">Abitazioni di vacanza e alloggi collettivi 2023 - Svizzera e Grigioni</Titel_IT>
    <Titel_RM xmlns="a85bdc46-611b-4a7e-936f-e8248c6e1bca">Abitaziuns da vacanzas ed alloschis collectivs 2023 – Svizra e Grischun</Titel_RM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C7E3B5B685244E9F316DC5AF52F3F3" ma:contentTypeVersion="6" ma:contentTypeDescription="Ein neues Dokument erstellen." ma:contentTypeScope="" ma:versionID="5922a524ea719d7172c03bd4767f06ed">
  <xsd:schema xmlns:xsd="http://www.w3.org/2001/XMLSchema" xmlns:xs="http://www.w3.org/2001/XMLSchema" xmlns:p="http://schemas.microsoft.com/office/2006/metadata/properties" xmlns:ns1="http://schemas.microsoft.com/sharepoint/v3" xmlns:ns2="a85bdc46-611b-4a7e-936f-e8248c6e1bca" targetNamespace="http://schemas.microsoft.com/office/2006/metadata/properties" ma:root="true" ma:fieldsID="2f5bd5d7e51ad7ad358f4884b85fdf5e" ns1:_="" ns2:_="">
    <xsd:import namespace="http://schemas.microsoft.com/sharepoint/v3"/>
    <xsd:import namespace="a85bdc46-611b-4a7e-936f-e8248c6e1bc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itel_DE" minOccurs="0"/>
                <xsd:element ref="ns2:Titel_RM" minOccurs="0"/>
                <xsd:element ref="ns2:Titel_IT" minOccurs="0"/>
                <xsd:element ref="ns2:Kategorie" minOccurs="0"/>
                <xsd:element ref="ns2:Benutzerdefinierte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bdc46-611b-4a7e-936f-e8248c6e1bca" elementFormDefault="qualified">
    <xsd:import namespace="http://schemas.microsoft.com/office/2006/documentManagement/types"/>
    <xsd:import namespace="http://schemas.microsoft.com/office/infopath/2007/PartnerControls"/>
    <xsd:element name="Titel_DE" ma:index="10" nillable="true" ma:displayName="Titel_DE" ma:internalName="Titel_DE">
      <xsd:simpleType>
        <xsd:restriction base="dms:Text">
          <xsd:maxLength value="255"/>
        </xsd:restriction>
      </xsd:simpleType>
    </xsd:element>
    <xsd:element name="Titel_RM" ma:index="11" nillable="true" ma:displayName="Titel_RM" ma:internalName="Titel_RM">
      <xsd:simpleType>
        <xsd:restriction base="dms:Text">
          <xsd:maxLength value="255"/>
        </xsd:restriction>
      </xsd:simpleType>
    </xsd:element>
    <xsd:element name="Titel_IT" ma:index="12" nillable="true" ma:displayName="Titel_IT" ma:internalName="Titel_IT">
      <xsd:simpleType>
        <xsd:restriction base="dms:Text">
          <xsd:maxLength value="255"/>
        </xsd:restriction>
      </xsd:simpleType>
    </xsd:element>
    <xsd:element name="Kategorie" ma:index="13" nillable="true" ma:displayName="Kategorie" ma:internalName="Kategorie">
      <xsd:simpleType>
        <xsd:restriction base="dms:Text">
          <xsd:maxLength value="255"/>
        </xsd:restriction>
      </xsd:simpleType>
    </xsd:element>
    <xsd:element name="Benutzerdefinierte_x0020_ID" ma:index="14" nillable="true" ma:displayName="Benutzerdefinierte ID" ma:internalName="Benutzerdefinierte_x0020_I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D8D4BC5-4F1B-4A68-8AE1-4165235AA7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7AD02E-5D37-4493-BAE3-D172C85B220E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/fields"/>
    <ds:schemaRef ds:uri="6c015d24-e71f-4eaa-9e8a-bc87414cf3b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E358D7-50F5-4873-94B6-5A4E3E0A7512}"/>
</file>

<file path=customXml/itemProps4.xml><?xml version="1.0" encoding="utf-8"?>
<ds:datastoreItem xmlns:ds="http://schemas.openxmlformats.org/officeDocument/2006/customXml" ds:itemID="{78711BB8-955D-44C7-9236-66DFD304608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Ferienwohnungen</vt:lpstr>
      <vt:lpstr>Kollektivunterkünfte</vt:lpstr>
      <vt:lpstr>Uebersetzungen</vt:lpstr>
    </vt:vector>
  </TitlesOfParts>
  <Company>Kantonale Verwaltung Graubünden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Ferienwohnungen und Kollektivunterkünfte</dc:title>
  <dc:creator>Luzius.Stricker@awt.gr.ch</dc:creator>
  <cp:lastModifiedBy>Stricker Luzius</cp:lastModifiedBy>
  <cp:lastPrinted>2017-07-27T14:40:07Z</cp:lastPrinted>
  <dcterms:created xsi:type="dcterms:W3CDTF">2011-04-18T08:09:26Z</dcterms:created>
  <dcterms:modified xsi:type="dcterms:W3CDTF">2024-07-09T05:34:36Z</dcterms:modified>
  <cp:category>Parahotelleriestatistik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0x01010061C7E3B5B685244E9F316DC5AF52F3F3</vt:lpwstr>
  </property>
</Properties>
</file>